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pk分组及任务" sheetId="2" r:id="rId1"/>
    <sheet name="员工奖励明细" sheetId="7" r:id="rId2"/>
    <sheet name="片区PK" sheetId="3" r:id="rId3"/>
    <sheet name="Sheet1" sheetId="4" state="hidden" r:id="rId4"/>
    <sheet name="片区完成情况" sheetId="6" r:id="rId5"/>
    <sheet name="Sheet2" sheetId="5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0" hidden="1">pk分组及任务!$A$2:$AV$146</definedName>
  </definedNames>
  <calcPr calcId="144525"/>
</workbook>
</file>

<file path=xl/sharedStrings.xml><?xml version="1.0" encoding="utf-8"?>
<sst xmlns="http://schemas.openxmlformats.org/spreadsheetml/2006/main" count="847" uniqueCount="274">
  <si>
    <t>2022.11.9—11.11</t>
  </si>
  <si>
    <t>（11.9-11）挑战一</t>
  </si>
  <si>
    <t>11.9-11.11（挑战二）</t>
  </si>
  <si>
    <t>11.12-11.15（挑战一）</t>
  </si>
  <si>
    <t>11.12-11.15（挑战二）</t>
  </si>
  <si>
    <t>锌钙特    48支任务</t>
  </si>
  <si>
    <t>门店实际完成情况
（完成门店任务即奖励4元/盒）</t>
  </si>
  <si>
    <t>钙锌奖励金额（此奖励单独发放，不随工资发放）</t>
  </si>
  <si>
    <t>序号</t>
  </si>
  <si>
    <t>门店ID</t>
  </si>
  <si>
    <t>门店名称</t>
  </si>
  <si>
    <t>片区名称</t>
  </si>
  <si>
    <t>正式员工人数</t>
  </si>
  <si>
    <t>PK  分组</t>
  </si>
  <si>
    <t>PK金额</t>
  </si>
  <si>
    <t>实际销售</t>
  </si>
  <si>
    <t>实际毛利</t>
  </si>
  <si>
    <t>1档销售任务</t>
  </si>
  <si>
    <t>1档毛利任务</t>
  </si>
  <si>
    <t>销售</t>
  </si>
  <si>
    <t>毛利</t>
  </si>
  <si>
    <t>毛利率</t>
  </si>
  <si>
    <t>1档销售完成率</t>
  </si>
  <si>
    <t>1档毛利完成率</t>
  </si>
  <si>
    <t>销售达标奖励70元/人（正式员工）</t>
  </si>
  <si>
    <t>1档超毛利奖励</t>
  </si>
  <si>
    <t>2档销售任务</t>
  </si>
  <si>
    <t>2档毛利任务</t>
  </si>
  <si>
    <t>2档销售完成率</t>
  </si>
  <si>
    <t>2档毛利完成率</t>
  </si>
  <si>
    <t>销售达标奖励150元/人（正式员工）</t>
  </si>
  <si>
    <t>2档超毛利奖励</t>
  </si>
  <si>
    <t>销售、毛利达标  分级 奖励</t>
  </si>
  <si>
    <r>
      <rPr>
        <b/>
        <sz val="9"/>
        <color rgb="FFFF0000"/>
        <rFont val="宋体"/>
        <charset val="134"/>
      </rPr>
      <t>销售毛利达标奖励超基础毛利额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</si>
  <si>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门店合计奖励</t>
  </si>
  <si>
    <t>五津西路药店</t>
  </si>
  <si>
    <t>新津片区</t>
  </si>
  <si>
    <t>新津五津西路二店</t>
  </si>
  <si>
    <t>新津邓双镇岷江店</t>
  </si>
  <si>
    <t>新津武阳西路</t>
  </si>
  <si>
    <t>兴义镇万兴路药店</t>
  </si>
  <si>
    <t>光华药店</t>
  </si>
  <si>
    <t>西门一片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</si>
  <si>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</si>
  <si>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</si>
  <si>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</si>
  <si>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</si>
  <si>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</si>
  <si>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</si>
  <si>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</si>
  <si>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</si>
  <si>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</si>
  <si>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</si>
  <si>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</si>
  <si>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</si>
  <si>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</si>
  <si>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</si>
  <si>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</si>
  <si>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</si>
  <si>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</si>
  <si>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</si>
  <si>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</si>
  <si>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</si>
  <si>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</si>
  <si>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</si>
  <si>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</si>
  <si>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</si>
  <si>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</si>
  <si>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</si>
  <si>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</si>
  <si>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</si>
  <si>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</si>
  <si>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</si>
  <si>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</si>
  <si>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</si>
  <si>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</si>
  <si>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</si>
  <si>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</si>
  <si>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</si>
  <si>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</si>
  <si>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</si>
  <si>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</si>
  <si>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</si>
  <si>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</si>
  <si>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</si>
  <si>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</si>
  <si>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</si>
  <si>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</si>
  <si>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</si>
  <si>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</si>
  <si>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</si>
  <si>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锦江区庆云南街药店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</si>
  <si>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</si>
  <si>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</si>
  <si>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</si>
  <si>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</si>
  <si>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</si>
  <si>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</si>
  <si>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</si>
  <si>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</si>
  <si>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</si>
  <si>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</si>
  <si>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</si>
  <si>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</si>
  <si>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</si>
  <si>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</si>
  <si>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</si>
  <si>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</si>
  <si>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</si>
  <si>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</si>
  <si>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</si>
  <si>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</si>
  <si>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</si>
  <si>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</si>
  <si>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</si>
  <si>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</si>
  <si>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</si>
  <si>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</si>
  <si>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</si>
  <si>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</si>
  <si>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</si>
  <si>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成华区华康路药店</t>
  </si>
  <si>
    <t>双流区东升街道三强西路药店</t>
  </si>
  <si>
    <t>华泰路二药店</t>
  </si>
  <si>
    <t>中和大道药店</t>
  </si>
  <si>
    <t>剑南大道店</t>
  </si>
  <si>
    <t>中和公济桥路药店</t>
  </si>
  <si>
    <t>水碾河</t>
  </si>
  <si>
    <t>泰和二街2店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</si>
  <si>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</si>
  <si>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</si>
  <si>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</si>
  <si>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</si>
  <si>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</si>
  <si>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</si>
  <si>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</si>
  <si>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</si>
  <si>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</si>
  <si>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</si>
  <si>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</si>
  <si>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</si>
  <si>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</si>
  <si>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</si>
  <si>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锦江区榕声路店</t>
  </si>
  <si>
    <t>成华区羊子山西路药店（兴元华盛）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</si>
  <si>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</si>
  <si>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</si>
  <si>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</si>
  <si>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</si>
  <si>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</si>
  <si>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</si>
  <si>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</si>
  <si>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</si>
  <si>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</si>
  <si>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</si>
  <si>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</si>
  <si>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</si>
  <si>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</si>
  <si>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</si>
  <si>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</si>
  <si>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</si>
  <si>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</si>
  <si>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</si>
  <si>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</si>
  <si>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</si>
  <si>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</si>
  <si>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</si>
  <si>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</si>
  <si>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</si>
  <si>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</si>
  <si>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</si>
  <si>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</si>
  <si>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</si>
  <si>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</si>
  <si>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</si>
  <si>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</si>
  <si>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</si>
  <si>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</si>
  <si>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</si>
  <si>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</si>
  <si>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</si>
  <si>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</si>
  <si>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</si>
  <si>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</si>
  <si>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</si>
  <si>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</si>
  <si>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</si>
  <si>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合计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</si>
  <si>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</si>
  <si>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</si>
  <si>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</si>
  <si>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</si>
  <si>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</si>
  <si>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</si>
  <si>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</si>
  <si>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>五津西路店</t>
  </si>
  <si>
    <t>王燕丽</t>
  </si>
  <si>
    <t>刘芬</t>
  </si>
  <si>
    <t>廖文莉</t>
  </si>
  <si>
    <t>邓双店</t>
  </si>
  <si>
    <t>郑红艳</t>
  </si>
  <si>
    <t>张琴</t>
  </si>
  <si>
    <t>江润萍</t>
  </si>
  <si>
    <t xml:space="preserve"> 分组</t>
  </si>
  <si>
    <t>门店数</t>
  </si>
  <si>
    <r>
      <rPr>
        <b/>
        <sz val="9"/>
        <color rgb="FFFF0000"/>
        <rFont val="宋体"/>
        <charset val="134"/>
      </rPr>
      <t>门店投入</t>
    </r>
    <r>
      <rPr>
        <b/>
        <sz val="9"/>
        <color theme="1"/>
        <rFont val="宋体"/>
        <charset val="134"/>
      </rPr>
      <t>PK金</t>
    </r>
  </si>
  <si>
    <t>片长投入</t>
  </si>
  <si>
    <t>合计PK金</t>
  </si>
  <si>
    <t>片区1档任务</t>
  </si>
  <si>
    <t>片区11.9-11销售数据</t>
  </si>
  <si>
    <t>完成率</t>
  </si>
  <si>
    <t>奖励支出</t>
  </si>
  <si>
    <t>奖励支出/上交金额</t>
  </si>
  <si>
    <t>PK规则</t>
  </si>
  <si>
    <t>（20元/店）</t>
  </si>
  <si>
    <t>PK金</t>
  </si>
  <si>
    <t>（前3天合并考核）</t>
  </si>
  <si>
    <t>520元</t>
  </si>
  <si>
    <t>300元</t>
  </si>
  <si>
    <t>820元</t>
  </si>
  <si>
    <r>
      <rPr>
        <sz val="9"/>
        <color theme="1"/>
        <rFont val="宋体"/>
        <charset val="134"/>
      </rPr>
      <t>（1）</t>
    </r>
    <r>
      <rPr>
        <b/>
        <sz val="9"/>
        <color theme="1"/>
        <rFont val="宋体"/>
        <charset val="134"/>
      </rPr>
      <t>每组片区</t>
    </r>
    <r>
      <rPr>
        <b/>
        <sz val="9"/>
        <color rgb="FFFF0000"/>
        <rFont val="宋体"/>
        <charset val="134"/>
      </rPr>
      <t>1档销售完成率排名第一</t>
    </r>
    <r>
      <rPr>
        <b/>
        <sz val="9"/>
        <color theme="1"/>
        <rFont val="宋体"/>
        <charset val="134"/>
      </rPr>
      <t>，获得同组</t>
    </r>
    <r>
      <rPr>
        <b/>
        <sz val="9"/>
        <color rgb="FFFF0000"/>
        <rFont val="宋体"/>
        <charset val="134"/>
      </rPr>
      <t>未完成</t>
    </r>
    <r>
      <rPr>
        <b/>
        <sz val="9"/>
        <color theme="1"/>
        <rFont val="宋体"/>
        <charset val="134"/>
      </rPr>
      <t>1档销售片区</t>
    </r>
    <r>
      <rPr>
        <b/>
        <sz val="9"/>
        <color rgb="FFFF0000"/>
        <rFont val="宋体"/>
        <charset val="134"/>
      </rPr>
      <t>投入的PK奖励</t>
    </r>
    <r>
      <rPr>
        <b/>
        <sz val="9"/>
        <color theme="1"/>
        <rFont val="宋体"/>
        <charset val="134"/>
      </rPr>
      <t>。                                （2）同组片</t>
    </r>
    <r>
      <rPr>
        <b/>
        <sz val="9"/>
        <rFont val="宋体"/>
        <charset val="134"/>
      </rPr>
      <t>区均达成1档销售</t>
    </r>
    <r>
      <rPr>
        <b/>
        <sz val="9"/>
        <color theme="1"/>
        <rFont val="宋体"/>
        <charset val="134"/>
      </rPr>
      <t>，退回片区PK金，</t>
    </r>
    <r>
      <rPr>
        <b/>
        <sz val="9"/>
        <color rgb="FFFF0000"/>
        <rFont val="宋体"/>
        <charset val="134"/>
      </rPr>
      <t>片区销售完成率第一名PK奖励</t>
    </r>
    <r>
      <rPr>
        <b/>
        <sz val="9"/>
        <color theme="1"/>
        <rFont val="宋体"/>
        <charset val="134"/>
      </rPr>
      <t>由公司支出同等金额。               （3）</t>
    </r>
    <r>
      <rPr>
        <b/>
        <sz val="9"/>
        <color rgb="FFFF0000"/>
        <rFont val="宋体"/>
        <charset val="134"/>
      </rPr>
      <t>同组片区均未达到1档销售 ，</t>
    </r>
    <r>
      <rPr>
        <b/>
        <sz val="9"/>
        <color theme="1"/>
        <rFont val="宋体"/>
        <charset val="134"/>
      </rPr>
      <t xml:space="preserve"> 投入PK金归公司。</t>
    </r>
  </si>
  <si>
    <t>城中片区支出</t>
  </si>
  <si>
    <t>1640元</t>
  </si>
  <si>
    <t>440元</t>
  </si>
  <si>
    <t>740元</t>
  </si>
  <si>
    <t>PK金上交公司</t>
  </si>
  <si>
    <t>420元</t>
  </si>
  <si>
    <t>720元</t>
  </si>
  <si>
    <t>380元</t>
  </si>
  <si>
    <t>680元</t>
  </si>
  <si>
    <t>加上团购金额核算，退回上交的片区PK金，完成率105%</t>
  </si>
  <si>
    <t>160元</t>
  </si>
  <si>
    <t>150元</t>
  </si>
  <si>
    <t>310元</t>
  </si>
  <si>
    <t>崇州片区支出</t>
  </si>
  <si>
    <t>620元</t>
  </si>
  <si>
    <t>80元</t>
  </si>
  <si>
    <t>230元</t>
  </si>
  <si>
    <t>11月9日-11日实际销售数据</t>
  </si>
  <si>
    <t>11月9日-11日1档任务</t>
  </si>
  <si>
    <t>销售任务</t>
  </si>
  <si>
    <t>毛利任务</t>
  </si>
  <si>
    <t>总计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</si>
  <si>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</si>
  <si>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</si>
  <si>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</si>
  <si>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</si>
  <si>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</si>
  <si>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</si>
  <si>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</si>
  <si>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</si>
  <si>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</si>
  <si>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</si>
  <si>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</si>
  <si>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</si>
  <si>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</si>
  <si>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</si>
  <si>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</si>
  <si>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</si>
  <si>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</si>
  <si>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</si>
  <si>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</si>
  <si>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</si>
  <si>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</si>
  <si>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</si>
  <si>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</si>
  <si>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</si>
  <si>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</si>
  <si>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</si>
  <si>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09-11实际销售</t>
  </si>
  <si>
    <t>09-11实际毛利</t>
  </si>
  <si>
    <t>09 1档销售任务</t>
  </si>
  <si>
    <t>09  1档毛利任务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</si>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</sst>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rgb="FF2E33FA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Times New Roman"/>
      <charset val="134"/>
    </font>
    <font>
      <b/>
      <sz val="9"/>
      <name val="宋体"/>
      <charset val="134"/>
    </font>
    <font>
      <sz val="1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1" fillId="17" borderId="13" applyNumberFormat="0" applyAlignment="0" applyProtection="0">
      <alignment vertical="center"/>
    </xf>
    <xf numFmtId="0" fontId="42" fillId="17" borderId="9" applyNumberFormat="0" applyAlignment="0" applyProtection="0">
      <alignment vertical="center"/>
    </xf>
    <xf numFmtId="0" fontId="43" fillId="18" borderId="14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 indent="1"/>
    </xf>
    <xf numFmtId="10" fontId="17" fillId="0" borderId="6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 indent="1"/>
    </xf>
    <xf numFmtId="10" fontId="17" fillId="0" borderId="5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58" fontId="20" fillId="0" borderId="3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0" fontId="18" fillId="0" borderId="5" xfId="0" applyNumberFormat="1" applyFont="1" applyBorder="1" applyAlignment="1">
      <alignment horizontal="center" vertical="center" wrapText="1"/>
    </xf>
    <xf numFmtId="10" fontId="18" fillId="0" borderId="3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0" fontId="14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6" fontId="14" fillId="7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.09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599;&#26376;&#27963;&#21160;&#26041;&#26696;&#21450;&#28165;&#21333;\&#38041;&#38156;&#22870;&#21169;\&#38041;&#38156;48&#259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门店奖励金额汇总"/>
      <sheetName val="Sheet1"/>
      <sheetName val="查询零售明细"/>
      <sheetName val="Sheet2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门店任务</v>
          </cell>
          <cell r="D1" t="str">
            <v>11.9-11.15销售数量</v>
          </cell>
        </row>
        <row r="2">
          <cell r="A2">
            <v>52</v>
          </cell>
          <cell r="B2" t="str">
            <v>四川太极崇州中心店</v>
          </cell>
          <cell r="C2">
            <v>40</v>
          </cell>
          <cell r="D2">
            <v>15</v>
          </cell>
        </row>
        <row r="3">
          <cell r="A3">
            <v>54</v>
          </cell>
          <cell r="B3" t="str">
            <v>四川太极怀远店</v>
          </cell>
          <cell r="C3">
            <v>50</v>
          </cell>
          <cell r="D3">
            <v>313</v>
          </cell>
        </row>
        <row r="4">
          <cell r="A4">
            <v>56</v>
          </cell>
          <cell r="B4" t="str">
            <v>四川太极三江店</v>
          </cell>
          <cell r="C4">
            <v>35</v>
          </cell>
          <cell r="D4">
            <v>35</v>
          </cell>
        </row>
        <row r="5">
          <cell r="A5">
            <v>307</v>
          </cell>
          <cell r="B5" t="str">
            <v>四川太极旗舰店</v>
          </cell>
          <cell r="C5">
            <v>100</v>
          </cell>
          <cell r="D5">
            <v>410</v>
          </cell>
        </row>
        <row r="6">
          <cell r="A6">
            <v>308</v>
          </cell>
          <cell r="B6" t="str">
            <v>四川太极红星店</v>
          </cell>
          <cell r="C6">
            <v>40</v>
          </cell>
          <cell r="D6">
            <v>24</v>
          </cell>
        </row>
        <row r="7">
          <cell r="A7">
            <v>311</v>
          </cell>
          <cell r="B7" t="str">
            <v>四川太极西部店</v>
          </cell>
          <cell r="C7">
            <v>40</v>
          </cell>
          <cell r="D7">
            <v>60</v>
          </cell>
        </row>
        <row r="8">
          <cell r="A8">
            <v>329</v>
          </cell>
          <cell r="B8" t="str">
            <v>四川太极温江店</v>
          </cell>
          <cell r="C8">
            <v>50</v>
          </cell>
          <cell r="D8">
            <v>11</v>
          </cell>
        </row>
        <row r="9">
          <cell r="A9">
            <v>337</v>
          </cell>
          <cell r="B9" t="str">
            <v>四川太极浆洗街药店</v>
          </cell>
          <cell r="C9">
            <v>50</v>
          </cell>
          <cell r="D9">
            <v>108</v>
          </cell>
        </row>
        <row r="10">
          <cell r="A10">
            <v>339</v>
          </cell>
          <cell r="B10" t="str">
            <v>四川太极沙河源药店</v>
          </cell>
          <cell r="C10">
            <v>40</v>
          </cell>
          <cell r="D10">
            <v>18</v>
          </cell>
        </row>
        <row r="11">
          <cell r="A11">
            <v>341</v>
          </cell>
          <cell r="B11" t="str">
            <v>四川太极邛崃中心药店</v>
          </cell>
          <cell r="C11">
            <v>60</v>
          </cell>
          <cell r="D11">
            <v>34</v>
          </cell>
        </row>
        <row r="12">
          <cell r="A12">
            <v>343</v>
          </cell>
          <cell r="B12" t="str">
            <v>四川太极光华药店</v>
          </cell>
          <cell r="C12">
            <v>60</v>
          </cell>
          <cell r="D12">
            <v>51</v>
          </cell>
        </row>
        <row r="13">
          <cell r="A13">
            <v>351</v>
          </cell>
          <cell r="B13" t="str">
            <v>四川太极都江堰药店</v>
          </cell>
          <cell r="C13">
            <v>40</v>
          </cell>
          <cell r="D13">
            <v>20</v>
          </cell>
        </row>
        <row r="14">
          <cell r="A14">
            <v>355</v>
          </cell>
          <cell r="B14" t="str">
            <v>四川太极双林路药店</v>
          </cell>
          <cell r="C14">
            <v>40</v>
          </cell>
          <cell r="D14">
            <v>40</v>
          </cell>
        </row>
        <row r="15">
          <cell r="A15">
            <v>357</v>
          </cell>
          <cell r="B15" t="str">
            <v>四川太极清江东路药店</v>
          </cell>
          <cell r="C15">
            <v>60</v>
          </cell>
          <cell r="D15">
            <v>43</v>
          </cell>
        </row>
        <row r="16">
          <cell r="A16">
            <v>359</v>
          </cell>
          <cell r="B16" t="str">
            <v>四川太极枣子巷药店</v>
          </cell>
          <cell r="C16">
            <v>50</v>
          </cell>
          <cell r="D16">
            <v>28</v>
          </cell>
        </row>
        <row r="17">
          <cell r="A17">
            <v>365</v>
          </cell>
          <cell r="B17" t="str">
            <v>四川太极光华村街药店</v>
          </cell>
          <cell r="C17">
            <v>60</v>
          </cell>
          <cell r="D17">
            <v>50</v>
          </cell>
        </row>
        <row r="18">
          <cell r="A18">
            <v>367</v>
          </cell>
          <cell r="B18" t="str">
            <v>四川太极金带街药店</v>
          </cell>
          <cell r="C18">
            <v>40</v>
          </cell>
          <cell r="D18">
            <v>23</v>
          </cell>
        </row>
        <row r="19">
          <cell r="A19">
            <v>371</v>
          </cell>
          <cell r="B19" t="str">
            <v>四川太极兴义镇万兴路药店</v>
          </cell>
          <cell r="C19">
            <v>35</v>
          </cell>
          <cell r="D19">
            <v>30</v>
          </cell>
        </row>
        <row r="20">
          <cell r="A20">
            <v>373</v>
          </cell>
          <cell r="B20" t="str">
            <v>四川太极通盈街药店</v>
          </cell>
          <cell r="C20">
            <v>50</v>
          </cell>
          <cell r="D20">
            <v>95</v>
          </cell>
        </row>
        <row r="21">
          <cell r="A21">
            <v>377</v>
          </cell>
          <cell r="B21" t="str">
            <v>四川太极新园大道药店</v>
          </cell>
          <cell r="C21">
            <v>50</v>
          </cell>
          <cell r="D21">
            <v>80</v>
          </cell>
        </row>
        <row r="22">
          <cell r="A22">
            <v>379</v>
          </cell>
          <cell r="B22" t="str">
            <v>四川太极土龙路药店</v>
          </cell>
          <cell r="C22">
            <v>50</v>
          </cell>
          <cell r="D22">
            <v>41</v>
          </cell>
        </row>
        <row r="23">
          <cell r="A23">
            <v>385</v>
          </cell>
          <cell r="B23" t="str">
            <v>四川太极五津西路药店</v>
          </cell>
          <cell r="C23">
            <v>60</v>
          </cell>
          <cell r="D23">
            <v>175</v>
          </cell>
        </row>
        <row r="24">
          <cell r="A24">
            <v>387</v>
          </cell>
          <cell r="B24" t="str">
            <v>四川太极新乐中街药店</v>
          </cell>
          <cell r="C24">
            <v>50</v>
          </cell>
          <cell r="D24">
            <v>171</v>
          </cell>
        </row>
        <row r="25">
          <cell r="A25">
            <v>391</v>
          </cell>
          <cell r="B25" t="str">
            <v>四川太极金丝街药店</v>
          </cell>
          <cell r="C25">
            <v>40</v>
          </cell>
          <cell r="D25">
            <v>16</v>
          </cell>
        </row>
        <row r="26">
          <cell r="A26">
            <v>399</v>
          </cell>
          <cell r="B26" t="str">
            <v>四川太极高新天久北巷药店</v>
          </cell>
          <cell r="C26">
            <v>50</v>
          </cell>
          <cell r="D26">
            <v>29</v>
          </cell>
        </row>
        <row r="27">
          <cell r="A27">
            <v>511</v>
          </cell>
          <cell r="B27" t="str">
            <v>四川太极成华杉板桥南一路店</v>
          </cell>
          <cell r="C27">
            <v>60</v>
          </cell>
          <cell r="D27">
            <v>30</v>
          </cell>
        </row>
        <row r="28">
          <cell r="A28">
            <v>513</v>
          </cell>
          <cell r="B28" t="str">
            <v>四川太极武侯区顺和街店</v>
          </cell>
          <cell r="C28">
            <v>50</v>
          </cell>
          <cell r="D28">
            <v>95</v>
          </cell>
        </row>
        <row r="29">
          <cell r="A29">
            <v>514</v>
          </cell>
          <cell r="B29" t="str">
            <v>四川太极新津邓双镇岷江店</v>
          </cell>
          <cell r="C29">
            <v>50</v>
          </cell>
          <cell r="D29">
            <v>118</v>
          </cell>
        </row>
        <row r="30">
          <cell r="A30">
            <v>515</v>
          </cell>
          <cell r="B30" t="str">
            <v>四川太极成华区崔家店路药店</v>
          </cell>
          <cell r="C30">
            <v>50</v>
          </cell>
          <cell r="D30">
            <v>46</v>
          </cell>
        </row>
        <row r="31">
          <cell r="A31">
            <v>517</v>
          </cell>
          <cell r="B31" t="str">
            <v>四川太极青羊区北东街店</v>
          </cell>
          <cell r="C31">
            <v>50</v>
          </cell>
          <cell r="D31">
            <v>87</v>
          </cell>
        </row>
        <row r="32">
          <cell r="A32">
            <v>539</v>
          </cell>
          <cell r="B32" t="str">
            <v>四川太极大邑县晋原镇子龙路店</v>
          </cell>
          <cell r="C32">
            <v>50</v>
          </cell>
          <cell r="D32">
            <v>157</v>
          </cell>
        </row>
        <row r="33">
          <cell r="A33">
            <v>546</v>
          </cell>
          <cell r="B33" t="str">
            <v>四川太极锦江区榕声路店</v>
          </cell>
          <cell r="C33">
            <v>60</v>
          </cell>
          <cell r="D33">
            <v>18</v>
          </cell>
        </row>
        <row r="34">
          <cell r="A34">
            <v>549</v>
          </cell>
          <cell r="B34" t="str">
            <v>四川太极大邑县晋源镇东壕沟段药店</v>
          </cell>
          <cell r="C34">
            <v>40</v>
          </cell>
          <cell r="D34">
            <v>62</v>
          </cell>
        </row>
        <row r="35">
          <cell r="A35">
            <v>570</v>
          </cell>
          <cell r="B35" t="str">
            <v>四川太极青羊区大石西路药店</v>
          </cell>
          <cell r="C35">
            <v>40</v>
          </cell>
          <cell r="D35">
            <v>23</v>
          </cell>
        </row>
        <row r="36">
          <cell r="A36">
            <v>571</v>
          </cell>
          <cell r="B36" t="str">
            <v>四川太极高新区锦城大道药店</v>
          </cell>
          <cell r="C36">
            <v>60</v>
          </cell>
          <cell r="D36">
            <v>53</v>
          </cell>
        </row>
        <row r="37">
          <cell r="A37">
            <v>572</v>
          </cell>
          <cell r="B37" t="str">
            <v>四川太极郫县郫筒镇东大街药店</v>
          </cell>
          <cell r="C37">
            <v>40</v>
          </cell>
          <cell r="D37">
            <v>40</v>
          </cell>
        </row>
        <row r="38">
          <cell r="A38">
            <v>573</v>
          </cell>
          <cell r="B38" t="str">
            <v>四川太极双流县西航港街道锦华路一段药店</v>
          </cell>
          <cell r="C38">
            <v>40</v>
          </cell>
          <cell r="D38">
            <v>33</v>
          </cell>
        </row>
        <row r="39">
          <cell r="A39">
            <v>578</v>
          </cell>
          <cell r="B39" t="str">
            <v>四川太极成华区华油路药店</v>
          </cell>
          <cell r="C39">
            <v>50</v>
          </cell>
          <cell r="D39">
            <v>8</v>
          </cell>
        </row>
        <row r="40">
          <cell r="A40">
            <v>581</v>
          </cell>
          <cell r="B40" t="str">
            <v>四川太极成华区二环路北四段药店（汇融名城）</v>
          </cell>
          <cell r="C40">
            <v>50</v>
          </cell>
          <cell r="D40">
            <v>72</v>
          </cell>
        </row>
        <row r="41">
          <cell r="A41">
            <v>585</v>
          </cell>
          <cell r="B41" t="str">
            <v>四川太极成华区羊子山西路药店（兴元华盛）</v>
          </cell>
          <cell r="C41">
            <v>60</v>
          </cell>
          <cell r="D41">
            <v>26</v>
          </cell>
        </row>
        <row r="42">
          <cell r="A42">
            <v>587</v>
          </cell>
          <cell r="B42" t="str">
            <v>四川太极都江堰景中路店</v>
          </cell>
          <cell r="C42">
            <v>50</v>
          </cell>
          <cell r="D42">
            <v>20</v>
          </cell>
        </row>
        <row r="43">
          <cell r="A43">
            <v>591</v>
          </cell>
          <cell r="B43" t="str">
            <v>四川太极邛崃市文君街道凤凰大道药店</v>
          </cell>
          <cell r="C43">
            <v>35</v>
          </cell>
          <cell r="D43">
            <v>36</v>
          </cell>
        </row>
        <row r="44">
          <cell r="A44">
            <v>594</v>
          </cell>
          <cell r="B44" t="str">
            <v>四川太极大邑县安仁镇千禧街药店</v>
          </cell>
          <cell r="C44">
            <v>40</v>
          </cell>
          <cell r="D44">
            <v>33</v>
          </cell>
        </row>
        <row r="45">
          <cell r="A45">
            <v>598</v>
          </cell>
          <cell r="B45" t="str">
            <v>四川太极锦江区水杉街药店</v>
          </cell>
          <cell r="C45">
            <v>50</v>
          </cell>
          <cell r="D45">
            <v>60</v>
          </cell>
        </row>
        <row r="46">
          <cell r="A46">
            <v>704</v>
          </cell>
          <cell r="B46" t="str">
            <v>四川太极都江堰奎光路中段药店</v>
          </cell>
          <cell r="C46">
            <v>40</v>
          </cell>
          <cell r="D46">
            <v>10</v>
          </cell>
        </row>
        <row r="47">
          <cell r="A47">
            <v>706</v>
          </cell>
          <cell r="B47" t="str">
            <v>四川太极都江堰幸福镇翔凤路药店</v>
          </cell>
          <cell r="C47">
            <v>40</v>
          </cell>
          <cell r="D47">
            <v>41</v>
          </cell>
        </row>
        <row r="48">
          <cell r="A48">
            <v>707</v>
          </cell>
          <cell r="B48" t="str">
            <v>四川太极成华区万科路药店</v>
          </cell>
          <cell r="C48">
            <v>60</v>
          </cell>
          <cell r="D48">
            <v>25</v>
          </cell>
        </row>
        <row r="49">
          <cell r="A49">
            <v>709</v>
          </cell>
          <cell r="B49" t="str">
            <v>四川太极新都区马超东路店</v>
          </cell>
          <cell r="C49">
            <v>50</v>
          </cell>
          <cell r="D49">
            <v>15</v>
          </cell>
        </row>
        <row r="50">
          <cell r="A50">
            <v>710</v>
          </cell>
          <cell r="B50" t="str">
            <v>四川太极都江堰市蒲阳镇堰问道西路药店</v>
          </cell>
          <cell r="C50">
            <v>40</v>
          </cell>
          <cell r="D50">
            <v>31</v>
          </cell>
        </row>
        <row r="51">
          <cell r="A51">
            <v>712</v>
          </cell>
          <cell r="B51" t="str">
            <v>四川太极成华区华泰路药店</v>
          </cell>
          <cell r="C51">
            <v>60</v>
          </cell>
          <cell r="D51">
            <v>72</v>
          </cell>
        </row>
        <row r="52">
          <cell r="A52">
            <v>713</v>
          </cell>
          <cell r="B52" t="str">
            <v>四川太极都江堰聚源镇药店</v>
          </cell>
          <cell r="C52">
            <v>40</v>
          </cell>
          <cell r="D52">
            <v>30</v>
          </cell>
        </row>
        <row r="53">
          <cell r="A53">
            <v>716</v>
          </cell>
          <cell r="B53" t="str">
            <v>四川太极大邑县沙渠镇方圆路药店</v>
          </cell>
          <cell r="C53">
            <v>50</v>
          </cell>
          <cell r="D53">
            <v>106</v>
          </cell>
        </row>
        <row r="54">
          <cell r="A54">
            <v>717</v>
          </cell>
          <cell r="B54" t="str">
            <v>四川太极大邑县晋原镇通达东路五段药店</v>
          </cell>
          <cell r="C54">
            <v>50</v>
          </cell>
          <cell r="D54">
            <v>104</v>
          </cell>
        </row>
        <row r="55">
          <cell r="A55">
            <v>720</v>
          </cell>
          <cell r="B55" t="str">
            <v>四川太极大邑县新场镇文昌街药店</v>
          </cell>
          <cell r="C55">
            <v>40</v>
          </cell>
          <cell r="D55">
            <v>295</v>
          </cell>
        </row>
        <row r="56">
          <cell r="A56">
            <v>721</v>
          </cell>
          <cell r="B56" t="str">
            <v>四川太极邛崃市临邛镇洪川小区药店</v>
          </cell>
          <cell r="C56">
            <v>50</v>
          </cell>
          <cell r="D56">
            <v>50</v>
          </cell>
        </row>
        <row r="57">
          <cell r="A57">
            <v>723</v>
          </cell>
          <cell r="B57" t="str">
            <v>四川太极锦江区柳翠路药店</v>
          </cell>
          <cell r="C57">
            <v>40</v>
          </cell>
          <cell r="D57">
            <v>94</v>
          </cell>
        </row>
        <row r="58">
          <cell r="A58">
            <v>724</v>
          </cell>
          <cell r="B58" t="str">
            <v>四川太极锦江区观音桥街药店</v>
          </cell>
          <cell r="C58">
            <v>50</v>
          </cell>
          <cell r="D58">
            <v>89</v>
          </cell>
        </row>
        <row r="59">
          <cell r="A59">
            <v>726</v>
          </cell>
          <cell r="B59" t="str">
            <v>四川太极金牛区交大路第三药店</v>
          </cell>
          <cell r="C59">
            <v>50</v>
          </cell>
          <cell r="D59">
            <v>55</v>
          </cell>
        </row>
        <row r="60">
          <cell r="A60">
            <v>727</v>
          </cell>
          <cell r="B60" t="str">
            <v>四川太极金牛区黄苑东街药店</v>
          </cell>
          <cell r="C60">
            <v>40</v>
          </cell>
          <cell r="D60">
            <v>63</v>
          </cell>
        </row>
        <row r="61">
          <cell r="A61">
            <v>730</v>
          </cell>
          <cell r="B61" t="str">
            <v>四川太极新都区新繁镇繁江北路药店</v>
          </cell>
          <cell r="C61">
            <v>60</v>
          </cell>
          <cell r="D61">
            <v>51</v>
          </cell>
        </row>
        <row r="62">
          <cell r="A62">
            <v>732</v>
          </cell>
          <cell r="B62" t="str">
            <v>四川太极邛崃市羊安镇永康大道药店</v>
          </cell>
          <cell r="C62">
            <v>40</v>
          </cell>
          <cell r="D62">
            <v>36</v>
          </cell>
        </row>
        <row r="63">
          <cell r="A63">
            <v>733</v>
          </cell>
          <cell r="B63" t="str">
            <v>四川太极双流区东升街道三强西路药店</v>
          </cell>
          <cell r="C63">
            <v>40</v>
          </cell>
          <cell r="D63">
            <v>35</v>
          </cell>
        </row>
        <row r="64">
          <cell r="A64">
            <v>737</v>
          </cell>
          <cell r="B64" t="str">
            <v>四川太极高新区大源北街药店</v>
          </cell>
          <cell r="C64">
            <v>50</v>
          </cell>
          <cell r="D64">
            <v>63</v>
          </cell>
        </row>
        <row r="65">
          <cell r="A65">
            <v>738</v>
          </cell>
          <cell r="B65" t="str">
            <v>四川太极都江堰市蒲阳路药店</v>
          </cell>
          <cell r="C65">
            <v>40</v>
          </cell>
          <cell r="D65">
            <v>20</v>
          </cell>
        </row>
        <row r="66">
          <cell r="A66">
            <v>740</v>
          </cell>
          <cell r="B66" t="str">
            <v>四川太极成华区华康路药店</v>
          </cell>
          <cell r="C66">
            <v>40</v>
          </cell>
          <cell r="D66">
            <v>84</v>
          </cell>
        </row>
        <row r="67">
          <cell r="A67">
            <v>742</v>
          </cell>
          <cell r="B67" t="str">
            <v>四川太极锦江区庆云南街药店</v>
          </cell>
          <cell r="C67">
            <v>30</v>
          </cell>
          <cell r="D67">
            <v>31</v>
          </cell>
        </row>
        <row r="68">
          <cell r="A68">
            <v>743</v>
          </cell>
          <cell r="B68" t="str">
            <v>四川太极成华区万宇路药店</v>
          </cell>
          <cell r="C68">
            <v>40</v>
          </cell>
          <cell r="D68">
            <v>70</v>
          </cell>
        </row>
        <row r="69">
          <cell r="A69">
            <v>744</v>
          </cell>
          <cell r="B69" t="str">
            <v>四川太极武侯区科华街药店</v>
          </cell>
          <cell r="C69">
            <v>50</v>
          </cell>
          <cell r="D69">
            <v>20</v>
          </cell>
        </row>
        <row r="70">
          <cell r="A70">
            <v>745</v>
          </cell>
          <cell r="B70" t="str">
            <v>四川太极金牛区金沙路药店</v>
          </cell>
          <cell r="C70">
            <v>40</v>
          </cell>
          <cell r="D70">
            <v>3</v>
          </cell>
        </row>
        <row r="71">
          <cell r="A71">
            <v>746</v>
          </cell>
          <cell r="B71" t="str">
            <v>四川太极大邑县晋原镇内蒙古大道桃源药店</v>
          </cell>
          <cell r="C71">
            <v>50</v>
          </cell>
          <cell r="D71">
            <v>233</v>
          </cell>
        </row>
        <row r="72">
          <cell r="A72">
            <v>747</v>
          </cell>
          <cell r="B72" t="str">
            <v>四川太极郫县郫筒镇一环路东南段药店</v>
          </cell>
          <cell r="C72">
            <v>50</v>
          </cell>
          <cell r="D72">
            <v>43</v>
          </cell>
        </row>
        <row r="73">
          <cell r="A73">
            <v>748</v>
          </cell>
          <cell r="B73" t="str">
            <v>四川太极大邑县晋原镇东街药店</v>
          </cell>
          <cell r="C73">
            <v>40</v>
          </cell>
          <cell r="D73">
            <v>68</v>
          </cell>
        </row>
        <row r="74">
          <cell r="A74">
            <v>750</v>
          </cell>
          <cell r="B74" t="str">
            <v>成都成汉太极大药房有限公司</v>
          </cell>
          <cell r="C74">
            <v>80</v>
          </cell>
          <cell r="D74">
            <v>48</v>
          </cell>
        </row>
        <row r="75">
          <cell r="A75">
            <v>752</v>
          </cell>
          <cell r="B75" t="str">
            <v>四川太极大药房连锁有限公司武侯区聚萃街药店</v>
          </cell>
          <cell r="C75">
            <v>40</v>
          </cell>
          <cell r="D75">
            <v>35</v>
          </cell>
        </row>
        <row r="76">
          <cell r="A76">
            <v>754</v>
          </cell>
          <cell r="B76" t="str">
            <v>四川太极崇州市崇阳镇尚贤坊街药店</v>
          </cell>
          <cell r="C76">
            <v>40</v>
          </cell>
          <cell r="D76">
            <v>25</v>
          </cell>
        </row>
        <row r="77">
          <cell r="A77">
            <v>101453</v>
          </cell>
          <cell r="B77" t="str">
            <v>四川太极温江区公平街道江安路药店</v>
          </cell>
          <cell r="C77">
            <v>50</v>
          </cell>
          <cell r="D77">
            <v>49</v>
          </cell>
        </row>
        <row r="78">
          <cell r="A78">
            <v>102479</v>
          </cell>
          <cell r="B78" t="str">
            <v>四川太极锦江区劼人路药店</v>
          </cell>
          <cell r="C78">
            <v>40</v>
          </cell>
          <cell r="D78">
            <v>16</v>
          </cell>
        </row>
        <row r="79">
          <cell r="A79">
            <v>102564</v>
          </cell>
          <cell r="B79" t="str">
            <v>四川太极邛崃市临邛镇翠荫街药店</v>
          </cell>
          <cell r="C79">
            <v>40</v>
          </cell>
          <cell r="D79">
            <v>41</v>
          </cell>
        </row>
        <row r="80">
          <cell r="A80">
            <v>102565</v>
          </cell>
          <cell r="B80" t="str">
            <v>四川太极武侯区佳灵路药店</v>
          </cell>
          <cell r="C80">
            <v>40</v>
          </cell>
          <cell r="D80">
            <v>13</v>
          </cell>
        </row>
        <row r="81">
          <cell r="A81">
            <v>102567</v>
          </cell>
          <cell r="B81" t="str">
            <v>四川太极新津县五津镇武阳西路药店</v>
          </cell>
          <cell r="C81">
            <v>40</v>
          </cell>
          <cell r="D81">
            <v>56</v>
          </cell>
        </row>
        <row r="82">
          <cell r="A82">
            <v>102934</v>
          </cell>
          <cell r="B82" t="str">
            <v>四川太极金牛区银河北街药店</v>
          </cell>
          <cell r="C82">
            <v>50</v>
          </cell>
          <cell r="D82">
            <v>106</v>
          </cell>
        </row>
        <row r="83">
          <cell r="A83">
            <v>102935</v>
          </cell>
          <cell r="B83" t="str">
            <v>四川太极青羊区童子街药店</v>
          </cell>
          <cell r="C83">
            <v>40</v>
          </cell>
          <cell r="D83">
            <v>33</v>
          </cell>
        </row>
        <row r="84">
          <cell r="A84">
            <v>103198</v>
          </cell>
          <cell r="B84" t="str">
            <v>四川太极青羊区贝森北路药店</v>
          </cell>
          <cell r="C84">
            <v>50</v>
          </cell>
          <cell r="D84">
            <v>83</v>
          </cell>
        </row>
        <row r="85">
          <cell r="A85">
            <v>103199</v>
          </cell>
          <cell r="B85" t="str">
            <v>四川太极成华区西林一街药店</v>
          </cell>
          <cell r="C85">
            <v>50</v>
          </cell>
          <cell r="D85">
            <v>33</v>
          </cell>
        </row>
        <row r="86">
          <cell r="A86">
            <v>103639</v>
          </cell>
          <cell r="B86" t="str">
            <v>四川太极成华区金马河路药店</v>
          </cell>
          <cell r="C86">
            <v>50</v>
          </cell>
          <cell r="D86">
            <v>33</v>
          </cell>
        </row>
        <row r="87">
          <cell r="A87">
            <v>104428</v>
          </cell>
          <cell r="B87" t="str">
            <v>四川太极崇州市崇阳镇永康东路药店 </v>
          </cell>
          <cell r="C87">
            <v>50</v>
          </cell>
          <cell r="D87">
            <v>73</v>
          </cell>
        </row>
        <row r="88">
          <cell r="A88">
            <v>104429</v>
          </cell>
          <cell r="B88" t="str">
            <v>四川太极武侯区大华街药店</v>
          </cell>
          <cell r="C88">
            <v>40</v>
          </cell>
          <cell r="D88">
            <v>17</v>
          </cell>
        </row>
        <row r="89">
          <cell r="A89">
            <v>104430</v>
          </cell>
          <cell r="B89" t="str">
            <v>四川太极高新区中和大道药店</v>
          </cell>
          <cell r="C89">
            <v>40</v>
          </cell>
          <cell r="D89">
            <v>41</v>
          </cell>
        </row>
        <row r="90">
          <cell r="A90">
            <v>104533</v>
          </cell>
          <cell r="B90" t="str">
            <v>四川太极大邑县晋原镇潘家街药店</v>
          </cell>
          <cell r="C90">
            <v>35</v>
          </cell>
          <cell r="D90">
            <v>40</v>
          </cell>
        </row>
        <row r="91">
          <cell r="A91">
            <v>104838</v>
          </cell>
          <cell r="B91" t="str">
            <v>四川太极崇州市崇阳镇蜀州中路药店</v>
          </cell>
          <cell r="C91">
            <v>40</v>
          </cell>
          <cell r="D91">
            <v>8</v>
          </cell>
        </row>
        <row r="92">
          <cell r="A92">
            <v>105267</v>
          </cell>
          <cell r="B92" t="str">
            <v>四川太极金牛区蜀汉路药店</v>
          </cell>
          <cell r="C92">
            <v>50</v>
          </cell>
          <cell r="D92">
            <v>63</v>
          </cell>
        </row>
        <row r="93">
          <cell r="A93">
            <v>105751</v>
          </cell>
          <cell r="B93" t="str">
            <v>四川太极高新区新下街药店</v>
          </cell>
          <cell r="C93">
            <v>40</v>
          </cell>
          <cell r="D93">
            <v>132</v>
          </cell>
        </row>
        <row r="94">
          <cell r="A94">
            <v>105910</v>
          </cell>
          <cell r="B94" t="str">
            <v>四川太极高新区紫薇东路药店</v>
          </cell>
          <cell r="C94">
            <v>50</v>
          </cell>
          <cell r="D94">
            <v>15</v>
          </cell>
        </row>
        <row r="95">
          <cell r="A95">
            <v>106066</v>
          </cell>
          <cell r="B95" t="str">
            <v>四川太极锦江区梨花街药店</v>
          </cell>
          <cell r="C95">
            <v>50</v>
          </cell>
          <cell r="D95">
            <v>30</v>
          </cell>
        </row>
        <row r="96">
          <cell r="A96">
            <v>106399</v>
          </cell>
          <cell r="B96" t="str">
            <v>四川太极青羊区蜀辉路药店</v>
          </cell>
          <cell r="C96">
            <v>50</v>
          </cell>
          <cell r="D96">
            <v>106</v>
          </cell>
        </row>
        <row r="97">
          <cell r="A97">
            <v>106485</v>
          </cell>
          <cell r="B97" t="str">
            <v>四川太极成都高新区元华二巷药店</v>
          </cell>
          <cell r="C97">
            <v>50</v>
          </cell>
          <cell r="D97">
            <v>70</v>
          </cell>
        </row>
        <row r="98">
          <cell r="A98">
            <v>106568</v>
          </cell>
          <cell r="B98" t="str">
            <v>四川太极高新区中和公济桥路药店</v>
          </cell>
          <cell r="C98">
            <v>35</v>
          </cell>
          <cell r="D98">
            <v>34</v>
          </cell>
        </row>
        <row r="99">
          <cell r="A99">
            <v>106569</v>
          </cell>
          <cell r="B99" t="str">
            <v>四川太极武侯区大悦路药店</v>
          </cell>
          <cell r="C99">
            <v>50</v>
          </cell>
          <cell r="D99">
            <v>67</v>
          </cell>
        </row>
        <row r="100">
          <cell r="A100">
            <v>106865</v>
          </cell>
          <cell r="B100" t="str">
            <v>四川太极武侯区丝竹路药店</v>
          </cell>
          <cell r="C100">
            <v>50</v>
          </cell>
          <cell r="D100">
            <v>40</v>
          </cell>
        </row>
        <row r="101">
          <cell r="A101">
            <v>107658</v>
          </cell>
          <cell r="B101" t="str">
            <v>四川太极新都区新都街道万和北路药店</v>
          </cell>
          <cell r="C101">
            <v>60</v>
          </cell>
          <cell r="D101">
            <v>35</v>
          </cell>
        </row>
        <row r="102">
          <cell r="A102">
            <v>107728</v>
          </cell>
          <cell r="B102" t="str">
            <v>四川太极大邑县晋原镇北街药店</v>
          </cell>
          <cell r="C102">
            <v>50</v>
          </cell>
          <cell r="D102">
            <v>133</v>
          </cell>
        </row>
        <row r="103">
          <cell r="A103">
            <v>108277</v>
          </cell>
          <cell r="B103" t="str">
            <v>四川太极金牛区银沙路药店</v>
          </cell>
          <cell r="C103">
            <v>50</v>
          </cell>
          <cell r="D103">
            <v>40</v>
          </cell>
        </row>
        <row r="104">
          <cell r="A104">
            <v>108656</v>
          </cell>
          <cell r="B104" t="str">
            <v>四川太极新津县五津镇五津西路二药房</v>
          </cell>
          <cell r="C104">
            <v>50</v>
          </cell>
          <cell r="D104">
            <v>123</v>
          </cell>
        </row>
        <row r="105">
          <cell r="A105">
            <v>110378</v>
          </cell>
          <cell r="B105" t="str">
            <v>四川太极都江堰市永丰街道宝莲路药店</v>
          </cell>
          <cell r="C105">
            <v>40</v>
          </cell>
          <cell r="D105">
            <v>23</v>
          </cell>
        </row>
        <row r="106">
          <cell r="A106">
            <v>111219</v>
          </cell>
          <cell r="B106" t="str">
            <v>四川太极金牛区花照壁药店</v>
          </cell>
          <cell r="C106">
            <v>50</v>
          </cell>
          <cell r="D106">
            <v>90</v>
          </cell>
        </row>
        <row r="107">
          <cell r="A107">
            <v>111400</v>
          </cell>
          <cell r="B107" t="str">
            <v>四川太极邛崃市文君街道杏林路药店</v>
          </cell>
          <cell r="C107">
            <v>60</v>
          </cell>
          <cell r="D107">
            <v>13</v>
          </cell>
        </row>
        <row r="108">
          <cell r="A108">
            <v>112415</v>
          </cell>
          <cell r="B108" t="str">
            <v>四川太极金牛区五福桥东路药店</v>
          </cell>
          <cell r="C108">
            <v>40</v>
          </cell>
          <cell r="D108">
            <v>14</v>
          </cell>
        </row>
        <row r="109">
          <cell r="A109">
            <v>113008</v>
          </cell>
          <cell r="B109" t="str">
            <v>四川太极成都高新区尚锦路药店</v>
          </cell>
          <cell r="C109">
            <v>40</v>
          </cell>
          <cell r="D109">
            <v>14</v>
          </cell>
        </row>
        <row r="110">
          <cell r="A110">
            <v>113025</v>
          </cell>
          <cell r="B110" t="str">
            <v>四川太极青羊区蜀鑫路药店</v>
          </cell>
          <cell r="C110">
            <v>40</v>
          </cell>
          <cell r="D110">
            <v>43</v>
          </cell>
        </row>
        <row r="111">
          <cell r="A111">
            <v>113298</v>
          </cell>
          <cell r="B111" t="str">
            <v>四川太极武侯区逸都路药店</v>
          </cell>
          <cell r="C111">
            <v>40</v>
          </cell>
          <cell r="D111">
            <v>3</v>
          </cell>
        </row>
        <row r="112">
          <cell r="A112">
            <v>113299</v>
          </cell>
          <cell r="B112" t="str">
            <v>四川太极武侯区倪家桥路药店</v>
          </cell>
          <cell r="C112">
            <v>40</v>
          </cell>
          <cell r="D112">
            <v>71</v>
          </cell>
        </row>
        <row r="113">
          <cell r="A113">
            <v>113833</v>
          </cell>
          <cell r="B113" t="str">
            <v>四川太极青羊区光华西一路药店</v>
          </cell>
          <cell r="C113">
            <v>40</v>
          </cell>
          <cell r="D113">
            <v>23</v>
          </cell>
        </row>
        <row r="114">
          <cell r="A114">
            <v>114286</v>
          </cell>
          <cell r="B114" t="str">
            <v>四川太极青羊区光华北五路药店</v>
          </cell>
          <cell r="C114">
            <v>50</v>
          </cell>
          <cell r="D114">
            <v>5</v>
          </cell>
        </row>
        <row r="115">
          <cell r="A115">
            <v>114622</v>
          </cell>
          <cell r="B115" t="str">
            <v>四川太极成华区东昌路一药店</v>
          </cell>
          <cell r="C115">
            <v>50</v>
          </cell>
          <cell r="D115">
            <v>30</v>
          </cell>
        </row>
        <row r="116">
          <cell r="A116">
            <v>114685</v>
          </cell>
          <cell r="B116" t="str">
            <v>四川太极青羊区青龙街药店</v>
          </cell>
          <cell r="C116">
            <v>40</v>
          </cell>
          <cell r="D116">
            <v>61</v>
          </cell>
        </row>
        <row r="117">
          <cell r="A117">
            <v>114844</v>
          </cell>
          <cell r="B117" t="str">
            <v>四川太极成华区培华东路药店</v>
          </cell>
          <cell r="C117">
            <v>50</v>
          </cell>
          <cell r="D117">
            <v>17</v>
          </cell>
        </row>
        <row r="118">
          <cell r="A118">
            <v>114848</v>
          </cell>
          <cell r="B118" t="str">
            <v>四川太极成都高新区泰和二街二药店 </v>
          </cell>
          <cell r="C118">
            <v>35</v>
          </cell>
          <cell r="D118">
            <v>33</v>
          </cell>
        </row>
        <row r="119">
          <cell r="A119">
            <v>115971</v>
          </cell>
          <cell r="B119" t="str">
            <v>四川太极高新区天顺路药店</v>
          </cell>
          <cell r="C119">
            <v>40</v>
          </cell>
          <cell r="D119">
            <v>67</v>
          </cell>
        </row>
        <row r="120">
          <cell r="A120">
            <v>116482</v>
          </cell>
          <cell r="B120" t="str">
            <v>四川太极锦江区宏济中路药店</v>
          </cell>
          <cell r="C120">
            <v>40</v>
          </cell>
          <cell r="D120">
            <v>20</v>
          </cell>
        </row>
        <row r="121">
          <cell r="A121">
            <v>116919</v>
          </cell>
          <cell r="B121" t="str">
            <v>四川太极武侯区科华北路药店</v>
          </cell>
          <cell r="C121">
            <v>40</v>
          </cell>
          <cell r="D121">
            <v>40</v>
          </cell>
        </row>
        <row r="122">
          <cell r="A122">
            <v>117184</v>
          </cell>
          <cell r="B122" t="str">
            <v>四川太极锦江区静沙南路药店</v>
          </cell>
          <cell r="C122">
            <v>50</v>
          </cell>
          <cell r="D122">
            <v>38</v>
          </cell>
        </row>
        <row r="123">
          <cell r="A123">
            <v>117310</v>
          </cell>
          <cell r="B123" t="str">
            <v>四川太极武侯区长寿路药店</v>
          </cell>
          <cell r="C123">
            <v>40</v>
          </cell>
          <cell r="D123">
            <v>15</v>
          </cell>
        </row>
        <row r="124">
          <cell r="A124">
            <v>117637</v>
          </cell>
          <cell r="B124" t="str">
            <v>四川太极大邑晋原街道金巷西街药店</v>
          </cell>
          <cell r="C124">
            <v>35</v>
          </cell>
          <cell r="D124">
            <v>20</v>
          </cell>
        </row>
        <row r="125">
          <cell r="A125">
            <v>117923</v>
          </cell>
          <cell r="B125" t="str">
            <v>四川太极大邑县观音阁街西段店</v>
          </cell>
          <cell r="C125">
            <v>35</v>
          </cell>
          <cell r="D125">
            <v>32</v>
          </cell>
        </row>
        <row r="126">
          <cell r="A126">
            <v>118074</v>
          </cell>
          <cell r="B126" t="str">
            <v>四川太极高新区泰和二街药店</v>
          </cell>
          <cell r="C126">
            <v>50</v>
          </cell>
          <cell r="D126">
            <v>93</v>
          </cell>
        </row>
        <row r="127">
          <cell r="A127">
            <v>118151</v>
          </cell>
          <cell r="B127" t="str">
            <v>四川太极金牛区沙湾东一路药店</v>
          </cell>
          <cell r="C127">
            <v>40</v>
          </cell>
          <cell r="D127">
            <v>3</v>
          </cell>
        </row>
        <row r="128">
          <cell r="A128">
            <v>118758</v>
          </cell>
          <cell r="B128" t="str">
            <v>四川太极成华区水碾河路药店</v>
          </cell>
          <cell r="C128">
            <v>35</v>
          </cell>
          <cell r="D128">
            <v>10</v>
          </cell>
        </row>
        <row r="129">
          <cell r="A129">
            <v>118951</v>
          </cell>
          <cell r="B129" t="str">
            <v>四川太极青羊区金祥路药店</v>
          </cell>
          <cell r="C129">
            <v>40</v>
          </cell>
          <cell r="D129">
            <v>3</v>
          </cell>
        </row>
        <row r="130">
          <cell r="A130">
            <v>119262</v>
          </cell>
          <cell r="B130" t="str">
            <v>四川太极成华区驷马桥三路药店</v>
          </cell>
          <cell r="C130">
            <v>35</v>
          </cell>
          <cell r="D130">
            <v>10</v>
          </cell>
        </row>
        <row r="131">
          <cell r="A131">
            <v>119263</v>
          </cell>
          <cell r="B131" t="str">
            <v>四川太极青羊区蜀源路药店</v>
          </cell>
          <cell r="C131">
            <v>40</v>
          </cell>
          <cell r="D131">
            <v>23</v>
          </cell>
        </row>
        <row r="132">
          <cell r="A132">
            <v>120844</v>
          </cell>
          <cell r="B132" t="str">
            <v>四川太极彭州市致和镇南三环路药店</v>
          </cell>
          <cell r="C132">
            <v>50</v>
          </cell>
          <cell r="D132">
            <v>11</v>
          </cell>
        </row>
        <row r="133">
          <cell r="A133">
            <v>122198</v>
          </cell>
          <cell r="B133" t="str">
            <v>四川太极成华区华泰路二药店</v>
          </cell>
          <cell r="C133">
            <v>40</v>
          </cell>
          <cell r="D133">
            <v>32</v>
          </cell>
        </row>
        <row r="134">
          <cell r="A134">
            <v>122686</v>
          </cell>
          <cell r="B134" t="str">
            <v>四川太极大邑县晋原街道蜀望路药店</v>
          </cell>
          <cell r="C134">
            <v>35</v>
          </cell>
          <cell r="D134">
            <v>10</v>
          </cell>
        </row>
        <row r="135">
          <cell r="A135">
            <v>122718</v>
          </cell>
          <cell r="B135" t="str">
            <v>四川太极大邑县晋原街道南街药店</v>
          </cell>
          <cell r="C135">
            <v>30</v>
          </cell>
          <cell r="D135">
            <v>50</v>
          </cell>
        </row>
        <row r="136">
          <cell r="A136">
            <v>122906</v>
          </cell>
          <cell r="B136" t="str">
            <v>四川太极新都区斑竹园街道医贸大道药店</v>
          </cell>
          <cell r="C136">
            <v>40</v>
          </cell>
          <cell r="D136">
            <v>35</v>
          </cell>
        </row>
        <row r="137">
          <cell r="A137">
            <v>123007</v>
          </cell>
          <cell r="B137" t="str">
            <v>四川太极大邑县青霞街道元通路南段药店</v>
          </cell>
          <cell r="C137">
            <v>35</v>
          </cell>
          <cell r="D137">
            <v>38</v>
          </cell>
        </row>
        <row r="138">
          <cell r="A138">
            <v>128640</v>
          </cell>
          <cell r="B138" t="str">
            <v>四川太极郫都区红光街道红高东路药店</v>
          </cell>
          <cell r="C138">
            <v>30</v>
          </cell>
          <cell r="D138">
            <v>30</v>
          </cell>
        </row>
        <row r="139">
          <cell r="A139">
            <v>582</v>
          </cell>
          <cell r="B139" t="str">
            <v>四川太极青羊区十二桥药店</v>
          </cell>
          <cell r="C139">
            <v>40</v>
          </cell>
          <cell r="D139">
            <v>0</v>
          </cell>
        </row>
        <row r="140">
          <cell r="A140">
            <v>117491</v>
          </cell>
          <cell r="B140" t="str">
            <v>四川太极金牛区花照壁中横街药店</v>
          </cell>
          <cell r="C140">
            <v>35</v>
          </cell>
          <cell r="D140">
            <v>1</v>
          </cell>
        </row>
        <row r="141">
          <cell r="A141">
            <v>112888</v>
          </cell>
          <cell r="B141" t="str">
            <v>四川太极武侯区双楠路药店</v>
          </cell>
          <cell r="C141">
            <v>40</v>
          </cell>
          <cell r="D141">
            <v>2</v>
          </cell>
        </row>
        <row r="142">
          <cell r="A142">
            <v>116773</v>
          </cell>
          <cell r="B142" t="str">
            <v>四川太极青羊区经一路药店</v>
          </cell>
          <cell r="C142">
            <v>40</v>
          </cell>
          <cell r="D142">
            <v>3</v>
          </cell>
        </row>
        <row r="143">
          <cell r="A143">
            <v>114069</v>
          </cell>
          <cell r="B143" t="str">
            <v>四川太极高新区剑南大道药店</v>
          </cell>
          <cell r="C143">
            <v>35</v>
          </cell>
          <cell r="D143">
            <v>4</v>
          </cell>
        </row>
        <row r="144">
          <cell r="A144">
            <v>122176</v>
          </cell>
          <cell r="B144" t="str">
            <v>四川太极崇州市怀远镇文井北路药店</v>
          </cell>
          <cell r="C144">
            <v>30</v>
          </cell>
          <cell r="D144">
            <v>5</v>
          </cell>
        </row>
        <row r="145">
          <cell r="A145" t="str">
            <v>汇总</v>
          </cell>
        </row>
        <row r="145">
          <cell r="D145">
            <v>7447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9"/>
  <sheetViews>
    <sheetView topLeftCell="S1" workbookViewId="0">
      <pane ySplit="2" topLeftCell="A3" activePane="bottomLeft" state="frozen"/>
      <selection/>
      <selection pane="bottomLeft" activeCell="A12" sqref="$A12:$XFD12"/>
    </sheetView>
  </sheetViews>
  <sheetFormatPr defaultColWidth="9" defaultRowHeight="13.5"/>
  <cols>
    <col min="1" max="1" width="4" style="60" customWidth="1"/>
    <col min="2" max="2" width="9" style="24"/>
    <col min="3" max="3" width="16.75" style="24" customWidth="1"/>
    <col min="4" max="4" width="7.875" style="24" customWidth="1"/>
    <col min="5" max="5" width="7.875" style="61" customWidth="1"/>
    <col min="6" max="6" width="5.5" style="62" hidden="1" customWidth="1"/>
    <col min="7" max="7" width="7.125" style="62" hidden="1" customWidth="1"/>
    <col min="8" max="8" width="8.375" style="28" customWidth="1"/>
    <col min="9" max="9" width="9.5" style="28" customWidth="1"/>
    <col min="10" max="10" width="7.125" style="63" customWidth="1"/>
    <col min="11" max="11" width="6.625" style="63" customWidth="1"/>
    <col min="12" max="12" width="9" style="64" hidden="1" customWidth="1"/>
    <col min="13" max="13" width="9.75" style="65" hidden="1" customWidth="1"/>
    <col min="14" max="14" width="12" style="66" hidden="1" customWidth="1"/>
    <col min="15" max="15" width="9.875" style="66" customWidth="1"/>
    <col min="16" max="16" width="9.75" style="66" customWidth="1"/>
    <col min="17" max="17" width="11.5" style="67" customWidth="1"/>
    <col min="18" max="18" width="10.25" style="67" customWidth="1"/>
    <col min="19" max="19" width="10.375" style="67" customWidth="1"/>
    <col min="20" max="20" width="11.125" style="67" customWidth="1"/>
    <col min="21" max="21" width="9" style="68" hidden="1" customWidth="1"/>
    <col min="22" max="22" width="8.375" style="69" hidden="1" customWidth="1"/>
    <col min="23" max="23" width="8.125" style="70" hidden="1" customWidth="1"/>
    <col min="24" max="24" width="10.625" style="70" customWidth="1"/>
    <col min="25" max="25" width="8.125" style="70" customWidth="1"/>
    <col min="26" max="27" width="10" style="67" customWidth="1"/>
    <col min="28" max="28" width="10" style="70" customWidth="1"/>
    <col min="29" max="29" width="10.25" style="70" customWidth="1"/>
    <col min="30" max="30" width="11.5" style="67" customWidth="1"/>
    <col min="31" max="31" width="10" style="67" customWidth="1"/>
    <col min="32" max="32" width="11.125" style="65" hidden="1" customWidth="1"/>
    <col min="33" max="33" width="9.5" style="65" hidden="1" customWidth="1"/>
    <col min="34" max="34" width="10.125" style="66" hidden="1" customWidth="1"/>
    <col min="35" max="36" width="10.125" style="66" customWidth="1"/>
    <col min="37" max="39" width="10.125" style="71" customWidth="1"/>
    <col min="40" max="41" width="10.125" style="66" customWidth="1"/>
    <col min="42" max="42" width="10.125" style="65" customWidth="1"/>
    <col min="43" max="43" width="10.125" style="65" hidden="1" customWidth="1"/>
    <col min="44" max="44" width="9.25" style="65" hidden="1" customWidth="1"/>
    <col min="45" max="45" width="7.625" style="66" hidden="1" customWidth="1"/>
    <col min="46" max="46" width="10.125" style="119" customWidth="1"/>
    <col min="47" max="47" width="7.5" style="56" customWidth="1"/>
    <col min="48" max="48" width="11.5" style="64" customWidth="1"/>
    <col min="49" max="49" width="16.875" style="76" customWidth="1"/>
    <col min="50" max="16384" width="9" style="64"/>
  </cols>
  <sheetData>
    <row r="1" ht="34" customHeight="1" spans="1:49">
      <c r="A1" s="17" t="s">
        <v>0</v>
      </c>
      <c r="B1" s="120"/>
      <c r="C1" s="120"/>
      <c r="D1" s="120"/>
      <c r="E1" s="17"/>
      <c r="F1" s="17"/>
      <c r="G1" s="17"/>
      <c r="H1" s="121" t="s">
        <v>1</v>
      </c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4" t="s">
        <v>2</v>
      </c>
      <c r="T1" s="124"/>
      <c r="U1" s="124"/>
      <c r="V1" s="124"/>
      <c r="W1" s="124"/>
      <c r="X1" s="124"/>
      <c r="Y1" s="124"/>
      <c r="Z1" s="124"/>
      <c r="AA1" s="124"/>
      <c r="AB1" s="125" t="s">
        <v>3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6" t="s">
        <v>4</v>
      </c>
      <c r="AM1" s="126"/>
      <c r="AN1" s="126"/>
      <c r="AO1" s="126"/>
      <c r="AP1" s="126"/>
      <c r="AQ1" s="126"/>
      <c r="AR1" s="126"/>
      <c r="AS1" s="126"/>
      <c r="AT1" s="126"/>
      <c r="AU1" s="56" t="s">
        <v>5</v>
      </c>
      <c r="AV1" s="127" t="s">
        <v>6</v>
      </c>
      <c r="AW1" s="129" t="s">
        <v>7</v>
      </c>
    </row>
    <row r="2" ht="39" customHeight="1" spans="1:49">
      <c r="A2" s="17" t="s">
        <v>8</v>
      </c>
      <c r="B2" s="18" t="s">
        <v>9</v>
      </c>
      <c r="C2" s="18" t="s">
        <v>10</v>
      </c>
      <c r="D2" s="18" t="s">
        <v>11</v>
      </c>
      <c r="E2" s="19" t="s">
        <v>12</v>
      </c>
      <c r="F2" s="20" t="s">
        <v>13</v>
      </c>
      <c r="G2" s="21" t="s">
        <v>14</v>
      </c>
      <c r="H2" s="122" t="s">
        <v>15</v>
      </c>
      <c r="I2" s="122" t="s">
        <v>16</v>
      </c>
      <c r="J2" s="33" t="s">
        <v>17</v>
      </c>
      <c r="K2" s="33" t="s">
        <v>18</v>
      </c>
      <c r="L2" s="34" t="s">
        <v>19</v>
      </c>
      <c r="M2" s="35" t="s">
        <v>20</v>
      </c>
      <c r="N2" s="36" t="s">
        <v>21</v>
      </c>
      <c r="O2" s="37" t="s">
        <v>22</v>
      </c>
      <c r="P2" s="37" t="s">
        <v>23</v>
      </c>
      <c r="Q2" s="42" t="s">
        <v>24</v>
      </c>
      <c r="R2" s="42" t="s">
        <v>25</v>
      </c>
      <c r="S2" s="42" t="s">
        <v>26</v>
      </c>
      <c r="T2" s="42" t="s">
        <v>27</v>
      </c>
      <c r="U2" s="34" t="s">
        <v>19</v>
      </c>
      <c r="V2" s="35" t="s">
        <v>20</v>
      </c>
      <c r="W2" s="36" t="s">
        <v>21</v>
      </c>
      <c r="X2" s="37" t="s">
        <v>28</v>
      </c>
      <c r="Y2" s="37" t="s">
        <v>29</v>
      </c>
      <c r="Z2" s="42" t="s">
        <v>30</v>
      </c>
      <c r="AA2" s="42" t="s">
        <v>31</v>
      </c>
      <c r="AB2" s="44" t="s">
        <v>15</v>
      </c>
      <c r="AC2" s="44" t="s">
        <v>16</v>
      </c>
      <c r="AD2" s="45" t="s">
        <v>17</v>
      </c>
      <c r="AE2" s="45" t="s">
        <v>18</v>
      </c>
      <c r="AF2" s="46" t="s">
        <v>19</v>
      </c>
      <c r="AG2" s="46" t="s">
        <v>20</v>
      </c>
      <c r="AH2" s="50" t="s">
        <v>21</v>
      </c>
      <c r="AI2" s="51" t="s">
        <v>22</v>
      </c>
      <c r="AJ2" s="51" t="s">
        <v>23</v>
      </c>
      <c r="AK2" s="45" t="s">
        <v>32</v>
      </c>
      <c r="AL2" s="45" t="s">
        <v>26</v>
      </c>
      <c r="AM2" s="45" t="s">
        <v>27</v>
      </c>
      <c r="AN2" s="52" t="s">
        <v>28</v>
      </c>
      <c r="AO2" s="52" t="s">
        <v>29</v>
      </c>
      <c r="AP2" s="101" t="s">
        <v>33</v>
      </c>
      <c r="AQ2" s="46" t="s">
        <v>19</v>
      </c>
      <c r="AR2" s="46" t="s">
        <v>20</v>
      </c>
      <c r="AS2" s="50" t="s">
        <v>21</v>
      </c>
      <c r="AT2" s="45" t="s">
        <v>34</v>
      </c>
      <c r="AV2" s="127"/>
      <c r="AW2" s="130"/>
    </row>
    <row r="3" s="118" customFormat="1" spans="1:49">
      <c r="A3" s="23">
        <v>1</v>
      </c>
      <c r="B3" s="24">
        <v>385</v>
      </c>
      <c r="C3" s="24" t="s">
        <v>35</v>
      </c>
      <c r="D3" s="24" t="s">
        <v>36</v>
      </c>
      <c r="E3" s="123">
        <f>VLOOKUP(B3,[3]正式员工人数!$A:$C,3,0)</f>
        <v>3</v>
      </c>
      <c r="F3" s="27">
        <v>1</v>
      </c>
      <c r="G3" s="27">
        <v>200</v>
      </c>
      <c r="H3" s="28">
        <f>VLOOKUP(B3,[1]查询时间段分门店销售汇总!$D$3:$L$145,9,0)</f>
        <v>99964.82</v>
      </c>
      <c r="I3" s="28">
        <f>VLOOKUP(B3,[1]查询时间段分门店销售汇总!$D$3:$M$145,10,0)</f>
        <v>17082.01</v>
      </c>
      <c r="J3" s="32">
        <f>L3*3</f>
        <v>87450</v>
      </c>
      <c r="K3" s="32">
        <f>M3*3</f>
        <v>15715.8144</v>
      </c>
      <c r="L3" s="38">
        <v>29150</v>
      </c>
      <c r="M3" s="39">
        <v>5238.6048</v>
      </c>
      <c r="N3" s="40">
        <f>M3/L3</f>
        <v>0.179712</v>
      </c>
      <c r="O3" s="41">
        <f>H3/J3</f>
        <v>1.14310829045169</v>
      </c>
      <c r="P3" s="41">
        <f>I3/K3</f>
        <v>1.0869312633267</v>
      </c>
      <c r="Q3" s="43"/>
      <c r="R3" s="43"/>
      <c r="S3" s="43">
        <f>U3*3</f>
        <v>96195</v>
      </c>
      <c r="T3" s="43">
        <f>V3*3</f>
        <v>15558.656256</v>
      </c>
      <c r="U3" s="38">
        <v>32065</v>
      </c>
      <c r="V3" s="39">
        <v>5186.218752</v>
      </c>
      <c r="W3" s="40">
        <f>V3/U3</f>
        <v>0.1617408</v>
      </c>
      <c r="X3" s="41">
        <f>H3/S3</f>
        <v>1.03918935495608</v>
      </c>
      <c r="Y3" s="41">
        <f>I3/T3</f>
        <v>1.09791036699667</v>
      </c>
      <c r="Z3" s="43">
        <f>150*E3</f>
        <v>450</v>
      </c>
      <c r="AA3" s="43">
        <f>(I3-K3)*0.3</f>
        <v>409.85868</v>
      </c>
      <c r="AB3" s="47">
        <f>VLOOKUP(B3,[2]查询时间段分门店销售汇总!$D$3:$L$145,9,0)</f>
        <v>74752.23</v>
      </c>
      <c r="AC3" s="47">
        <f>VLOOKUP(B3,[2]查询时间段分门店销售汇总!$D$3:$M$145,10,0)</f>
        <v>10459.19</v>
      </c>
      <c r="AD3" s="48">
        <f>AF3*4</f>
        <v>76956</v>
      </c>
      <c r="AE3" s="48">
        <f>AG3*4</f>
        <v>15558.656256</v>
      </c>
      <c r="AF3" s="49">
        <v>19239</v>
      </c>
      <c r="AG3" s="49">
        <v>3889.664064</v>
      </c>
      <c r="AH3" s="53">
        <f>AG3/AF3</f>
        <v>0.202176</v>
      </c>
      <c r="AI3" s="53">
        <f>AB3/AD3</f>
        <v>0.971363246530485</v>
      </c>
      <c r="AJ3" s="53">
        <f>AC3/AE3</f>
        <v>0.672242501402815</v>
      </c>
      <c r="AK3" s="48"/>
      <c r="AL3" s="48">
        <f>AQ3*4</f>
        <v>96195</v>
      </c>
      <c r="AM3" s="48">
        <f>AR3*4</f>
        <v>17892.4546944</v>
      </c>
      <c r="AN3" s="54">
        <f>AB3/AL3</f>
        <v>0.777090597224388</v>
      </c>
      <c r="AO3" s="54">
        <f>AC3/AM3</f>
        <v>0.584558696872013</v>
      </c>
      <c r="AP3" s="49"/>
      <c r="AQ3" s="49">
        <v>24048.75</v>
      </c>
      <c r="AR3" s="49">
        <v>4473.1136736</v>
      </c>
      <c r="AS3" s="53">
        <f>AR3/AQ3</f>
        <v>0.18600192</v>
      </c>
      <c r="AT3" s="125">
        <f>Q3+R3+Z3+AA3+AK3+AP3</f>
        <v>859.85868</v>
      </c>
      <c r="AU3" s="57">
        <v>60</v>
      </c>
      <c r="AV3" s="128">
        <f>VLOOKUP(B3,[4]门店奖励金额汇总!$A:$D,4,0)</f>
        <v>175</v>
      </c>
      <c r="AW3" s="76">
        <f>AV3*4</f>
        <v>700</v>
      </c>
    </row>
    <row r="4" s="118" customFormat="1" spans="1:49">
      <c r="A4" s="23">
        <v>2</v>
      </c>
      <c r="B4" s="24">
        <v>108656</v>
      </c>
      <c r="C4" s="24" t="s">
        <v>37</v>
      </c>
      <c r="D4" s="24" t="s">
        <v>36</v>
      </c>
      <c r="E4" s="123">
        <f>VLOOKUP(B4,[3]正式员工人数!$A:$C,3,0)</f>
        <v>2</v>
      </c>
      <c r="F4" s="27">
        <v>1</v>
      </c>
      <c r="G4" s="27">
        <v>200</v>
      </c>
      <c r="H4" s="28">
        <f>VLOOKUP(B4,[1]查询时间段分门店销售汇总!$D$3:$L$145,9,0)</f>
        <v>43158.49</v>
      </c>
      <c r="I4" s="28">
        <f>VLOOKUP(B4,[1]查询时间段分门店销售汇总!$D$3:$M$145,10,0)</f>
        <v>5604.18</v>
      </c>
      <c r="J4" s="32">
        <f t="shared" ref="J4:J35" si="0">L4*3</f>
        <v>60420</v>
      </c>
      <c r="K4" s="32">
        <f t="shared" ref="K4:K35" si="1">M4*3</f>
        <v>10844.06076</v>
      </c>
      <c r="L4" s="38">
        <v>20140</v>
      </c>
      <c r="M4" s="39">
        <v>3614.68692</v>
      </c>
      <c r="N4" s="40">
        <f t="shared" ref="N4:N35" si="2">M4/L4</f>
        <v>0.179478</v>
      </c>
      <c r="O4" s="40">
        <f t="shared" ref="O4:O35" si="3">H4/J4</f>
        <v>0.714308010592519</v>
      </c>
      <c r="P4" s="40">
        <f t="shared" ref="P4:P35" si="4">I4/K4</f>
        <v>0.516797178108028</v>
      </c>
      <c r="Q4" s="43"/>
      <c r="R4" s="43"/>
      <c r="S4" s="43">
        <f t="shared" ref="S4:S35" si="5">U4*3</f>
        <v>66462</v>
      </c>
      <c r="T4" s="43">
        <f t="shared" ref="T4:T35" si="6">V4*3</f>
        <v>10735.6201524</v>
      </c>
      <c r="U4" s="38">
        <v>22154</v>
      </c>
      <c r="V4" s="39">
        <v>3578.5400508</v>
      </c>
      <c r="W4" s="40">
        <f t="shared" ref="W4:W35" si="7">V4/U4</f>
        <v>0.1615302</v>
      </c>
      <c r="X4" s="40">
        <f t="shared" ref="X4:X35" si="8">H4/S4</f>
        <v>0.649370918720472</v>
      </c>
      <c r="Y4" s="40">
        <f t="shared" ref="Y4:Y35" si="9">I4/T4</f>
        <v>0.522017351624271</v>
      </c>
      <c r="Z4" s="43"/>
      <c r="AA4" s="43"/>
      <c r="AB4" s="47">
        <f>VLOOKUP(B4,[2]查询时间段分门店销售汇总!$D$3:$L$145,9,0)</f>
        <v>40180.4</v>
      </c>
      <c r="AC4" s="47">
        <f>VLOOKUP(B4,[2]查询时间段分门店销售汇总!$D$3:$M$145,10,0)</f>
        <v>6634.73</v>
      </c>
      <c r="AD4" s="48">
        <f t="shared" ref="AD4:AD35" si="10">AF4*4</f>
        <v>53169.6</v>
      </c>
      <c r="AE4" s="48">
        <f t="shared" ref="AE4:AE35" si="11">AG4*4</f>
        <v>10735.6201524</v>
      </c>
      <c r="AF4" s="49">
        <v>13292.4</v>
      </c>
      <c r="AG4" s="49">
        <v>2683.9050381</v>
      </c>
      <c r="AH4" s="53">
        <f t="shared" ref="AH4:AH35" si="12">AG4/AF4</f>
        <v>0.20191275</v>
      </c>
      <c r="AI4" s="53">
        <f t="shared" ref="AI4:AI35" si="13">AB4/AD4</f>
        <v>0.755702506695555</v>
      </c>
      <c r="AJ4" s="53">
        <f t="shared" ref="AJ4:AJ35" si="14">AC4/AE4</f>
        <v>0.618010874622532</v>
      </c>
      <c r="AK4" s="48"/>
      <c r="AL4" s="48">
        <f t="shared" ref="AL4:AL35" si="15">AQ4*4</f>
        <v>66462</v>
      </c>
      <c r="AM4" s="48">
        <f t="shared" ref="AM4:AM35" si="16">AR4*4</f>
        <v>12345.96317526</v>
      </c>
      <c r="AN4" s="54">
        <f t="shared" ref="AN4:AN35" si="17">AB4/AL4</f>
        <v>0.604562005356444</v>
      </c>
      <c r="AO4" s="54">
        <f t="shared" ref="AO4:AO35" si="18">AC4/AM4</f>
        <v>0.537400760541332</v>
      </c>
      <c r="AP4" s="49"/>
      <c r="AQ4" s="49">
        <v>16615.5</v>
      </c>
      <c r="AR4" s="49">
        <v>3086.490793815</v>
      </c>
      <c r="AS4" s="53">
        <f t="shared" ref="AS4:AS35" si="19">AR4/AQ4</f>
        <v>0.18575973</v>
      </c>
      <c r="AT4" s="125">
        <f t="shared" ref="AT4:AT35" si="20">Q4+R4+Z4+AA4+AK4+AP4</f>
        <v>0</v>
      </c>
      <c r="AU4" s="57">
        <v>50</v>
      </c>
      <c r="AV4" s="128">
        <f>VLOOKUP(B4,[4]门店奖励金额汇总!$A:$D,4,0)</f>
        <v>123</v>
      </c>
      <c r="AW4" s="76">
        <f>AV4*4</f>
        <v>492</v>
      </c>
    </row>
    <row r="5" s="118" customFormat="1" spans="1:49">
      <c r="A5" s="23">
        <v>3</v>
      </c>
      <c r="B5" s="24">
        <v>514</v>
      </c>
      <c r="C5" s="24" t="s">
        <v>38</v>
      </c>
      <c r="D5" s="24" t="s">
        <v>36</v>
      </c>
      <c r="E5" s="123">
        <f>VLOOKUP(B5,[3]正式员工人数!$A:$C,3,0)</f>
        <v>4</v>
      </c>
      <c r="F5" s="27">
        <v>1</v>
      </c>
      <c r="G5" s="27">
        <v>200</v>
      </c>
      <c r="H5" s="28">
        <f>VLOOKUP(B5,[1]查询时间段分门店销售汇总!$D$3:$L$145,9,0)</f>
        <v>65596.77</v>
      </c>
      <c r="I5" s="28">
        <f>VLOOKUP(B5,[1]查询时间段分门店销售汇总!$D$3:$M$145,10,0)</f>
        <v>10443.96</v>
      </c>
      <c r="J5" s="32">
        <f t="shared" si="0"/>
        <v>63000</v>
      </c>
      <c r="K5" s="32">
        <f t="shared" si="1"/>
        <v>14953.302</v>
      </c>
      <c r="L5" s="38">
        <v>21000</v>
      </c>
      <c r="M5" s="39">
        <v>4984.434</v>
      </c>
      <c r="N5" s="40">
        <f t="shared" si="2"/>
        <v>0.237354</v>
      </c>
      <c r="O5" s="41">
        <f t="shared" si="3"/>
        <v>1.04121857142857</v>
      </c>
      <c r="P5" s="40">
        <f t="shared" si="4"/>
        <v>0.698438378359509</v>
      </c>
      <c r="Q5" s="43">
        <f>E5*70</f>
        <v>280</v>
      </c>
      <c r="R5" s="43"/>
      <c r="S5" s="43">
        <f t="shared" si="5"/>
        <v>69300</v>
      </c>
      <c r="T5" s="43">
        <f t="shared" si="6"/>
        <v>14803.76898</v>
      </c>
      <c r="U5" s="38">
        <v>23100</v>
      </c>
      <c r="V5" s="39">
        <v>4934.58966</v>
      </c>
      <c r="W5" s="40">
        <f t="shared" si="7"/>
        <v>0.2136186</v>
      </c>
      <c r="X5" s="40">
        <f t="shared" si="8"/>
        <v>0.946562337662338</v>
      </c>
      <c r="Y5" s="40">
        <f t="shared" si="9"/>
        <v>0.705493311474251</v>
      </c>
      <c r="Z5" s="43"/>
      <c r="AA5" s="43"/>
      <c r="AB5" s="47">
        <f>VLOOKUP(B5,[2]查询时间段分门店销售汇总!$D$3:$L$145,9,0)</f>
        <v>40577.62</v>
      </c>
      <c r="AC5" s="47">
        <f>VLOOKUP(B5,[2]查询时间段分门店销售汇总!$D$3:$M$145,10,0)</f>
        <v>8056.57</v>
      </c>
      <c r="AD5" s="48">
        <f t="shared" si="10"/>
        <v>55440</v>
      </c>
      <c r="AE5" s="48">
        <f t="shared" si="11"/>
        <v>14803.76898</v>
      </c>
      <c r="AF5" s="49">
        <v>13860</v>
      </c>
      <c r="AG5" s="49">
        <v>3700.942245</v>
      </c>
      <c r="AH5" s="53">
        <f t="shared" si="12"/>
        <v>0.26702325</v>
      </c>
      <c r="AI5" s="53">
        <f t="shared" si="13"/>
        <v>0.731919552669553</v>
      </c>
      <c r="AJ5" s="53">
        <f t="shared" si="14"/>
        <v>0.544224245250279</v>
      </c>
      <c r="AK5" s="48"/>
      <c r="AL5" s="48">
        <f t="shared" si="15"/>
        <v>69300</v>
      </c>
      <c r="AM5" s="48">
        <f t="shared" si="16"/>
        <v>17024.334327</v>
      </c>
      <c r="AN5" s="54">
        <f t="shared" si="17"/>
        <v>0.585535642135642</v>
      </c>
      <c r="AO5" s="54">
        <f t="shared" si="18"/>
        <v>0.473238474130678</v>
      </c>
      <c r="AP5" s="49"/>
      <c r="AQ5" s="49">
        <v>17325</v>
      </c>
      <c r="AR5" s="49">
        <v>4256.08358175</v>
      </c>
      <c r="AS5" s="53">
        <f t="shared" si="19"/>
        <v>0.24566139</v>
      </c>
      <c r="AT5" s="125">
        <f t="shared" si="20"/>
        <v>280</v>
      </c>
      <c r="AU5" s="57">
        <v>50</v>
      </c>
      <c r="AV5" s="128">
        <f>VLOOKUP(B5,[4]门店奖励金额汇总!$A:$D,4,0)</f>
        <v>118</v>
      </c>
      <c r="AW5" s="76">
        <f>AV5*4</f>
        <v>472</v>
      </c>
    </row>
    <row r="6" ht="14" customHeight="1" spans="1:49">
      <c r="A6" s="23">
        <v>4</v>
      </c>
      <c r="B6" s="24">
        <v>102567</v>
      </c>
      <c r="C6" s="24" t="s">
        <v>39</v>
      </c>
      <c r="D6" s="24" t="s">
        <v>36</v>
      </c>
      <c r="E6" s="123">
        <f>VLOOKUP(B6,[3]正式员工人数!$A:$C,3,0)</f>
        <v>2</v>
      </c>
      <c r="F6" s="27">
        <v>2</v>
      </c>
      <c r="G6" s="27">
        <v>100</v>
      </c>
      <c r="H6" s="28">
        <f>VLOOKUP(B6,[1]查询时间段分门店销售汇总!$D$3:$L$145,9,0)</f>
        <v>18666.98</v>
      </c>
      <c r="I6" s="28">
        <f>VLOOKUP(B6,[1]查询时间段分门店销售汇总!$D$3:$M$145,10,0)</f>
        <v>3980.39</v>
      </c>
      <c r="J6" s="32">
        <f t="shared" si="0"/>
        <v>27720</v>
      </c>
      <c r="K6" s="32">
        <f t="shared" si="1"/>
        <v>6140.5344</v>
      </c>
      <c r="L6" s="38">
        <v>9240</v>
      </c>
      <c r="M6" s="39">
        <v>2046.8448</v>
      </c>
      <c r="N6" s="40">
        <f t="shared" si="2"/>
        <v>0.22152</v>
      </c>
      <c r="O6" s="40">
        <f t="shared" si="3"/>
        <v>0.673411976911977</v>
      </c>
      <c r="P6" s="40">
        <f t="shared" si="4"/>
        <v>0.648215568990217</v>
      </c>
      <c r="Q6" s="43"/>
      <c r="R6" s="43"/>
      <c r="S6" s="43">
        <f t="shared" si="5"/>
        <v>30492</v>
      </c>
      <c r="T6" s="43">
        <f t="shared" si="6"/>
        <v>6079.129056</v>
      </c>
      <c r="U6" s="38">
        <v>10164</v>
      </c>
      <c r="V6" s="39">
        <v>2026.376352</v>
      </c>
      <c r="W6" s="40">
        <f t="shared" si="7"/>
        <v>0.199368</v>
      </c>
      <c r="X6" s="40">
        <f t="shared" si="8"/>
        <v>0.612192706283615</v>
      </c>
      <c r="Y6" s="40">
        <f t="shared" si="9"/>
        <v>0.654763201000219</v>
      </c>
      <c r="Z6" s="43"/>
      <c r="AA6" s="43"/>
      <c r="AB6" s="47">
        <f>VLOOKUP(B6,[2]查询时间段分门店销售汇总!$D$3:$L$145,9,0)</f>
        <v>20216</v>
      </c>
      <c r="AC6" s="47">
        <f>VLOOKUP(B6,[2]查询时间段分门店销售汇总!$D$3:$M$145,10,0)</f>
        <v>3006.4</v>
      </c>
      <c r="AD6" s="48">
        <f t="shared" si="10"/>
        <v>24393.6</v>
      </c>
      <c r="AE6" s="48">
        <f t="shared" si="11"/>
        <v>6079.129056</v>
      </c>
      <c r="AF6" s="49">
        <v>6098.4</v>
      </c>
      <c r="AG6" s="49">
        <v>1519.782264</v>
      </c>
      <c r="AH6" s="53">
        <f t="shared" si="12"/>
        <v>0.24921</v>
      </c>
      <c r="AI6" s="53">
        <f t="shared" si="13"/>
        <v>0.828741965105601</v>
      </c>
      <c r="AJ6" s="53">
        <f t="shared" si="14"/>
        <v>0.494544526412502</v>
      </c>
      <c r="AK6" s="48"/>
      <c r="AL6" s="48">
        <f t="shared" si="15"/>
        <v>30492</v>
      </c>
      <c r="AM6" s="48">
        <f t="shared" si="16"/>
        <v>6990.9984144</v>
      </c>
      <c r="AN6" s="54">
        <f t="shared" si="17"/>
        <v>0.662993572084481</v>
      </c>
      <c r="AO6" s="54">
        <f t="shared" si="18"/>
        <v>0.430038718619567</v>
      </c>
      <c r="AP6" s="49"/>
      <c r="AQ6" s="49">
        <v>7623</v>
      </c>
      <c r="AR6" s="49">
        <v>1747.7496036</v>
      </c>
      <c r="AS6" s="53">
        <f t="shared" si="19"/>
        <v>0.2292732</v>
      </c>
      <c r="AT6" s="125">
        <f t="shared" si="20"/>
        <v>0</v>
      </c>
      <c r="AU6" s="57">
        <v>40</v>
      </c>
      <c r="AV6" s="128">
        <f>VLOOKUP(B6,[4]门店奖励金额汇总!$A:$D,4,0)</f>
        <v>56</v>
      </c>
      <c r="AW6" s="76">
        <f>AV6*4</f>
        <v>224</v>
      </c>
    </row>
    <row r="7" spans="1:48">
      <c r="A7" s="23">
        <v>5</v>
      </c>
      <c r="B7" s="24">
        <v>371</v>
      </c>
      <c r="C7" s="24" t="s">
        <v>40</v>
      </c>
      <c r="D7" s="24" t="s">
        <v>36</v>
      </c>
      <c r="E7" s="123">
        <f>VLOOKUP(B7,[3]正式员工人数!$A:$C,3,0)</f>
        <v>2</v>
      </c>
      <c r="F7" s="27">
        <v>2</v>
      </c>
      <c r="G7" s="27">
        <v>100</v>
      </c>
      <c r="H7" s="28">
        <f>VLOOKUP(B7,[1]查询时间段分门店销售汇总!$D$3:$L$145,9,0)</f>
        <v>15256.95</v>
      </c>
      <c r="I7" s="28">
        <f>VLOOKUP(B7,[1]查询时间段分门店销售汇总!$D$3:$M$145,10,0)</f>
        <v>3779.06</v>
      </c>
      <c r="J7" s="32">
        <f t="shared" si="0"/>
        <v>21000</v>
      </c>
      <c r="K7" s="32">
        <f t="shared" si="1"/>
        <v>4907.448</v>
      </c>
      <c r="L7" s="38">
        <v>7000</v>
      </c>
      <c r="M7" s="39">
        <v>1635.816</v>
      </c>
      <c r="N7" s="40">
        <f t="shared" si="2"/>
        <v>0.233688</v>
      </c>
      <c r="O7" s="40">
        <f t="shared" si="3"/>
        <v>0.726521428571429</v>
      </c>
      <c r="P7" s="40">
        <f t="shared" si="4"/>
        <v>0.77006623401817</v>
      </c>
      <c r="Q7" s="43"/>
      <c r="R7" s="43"/>
      <c r="S7" s="43">
        <f t="shared" si="5"/>
        <v>23100</v>
      </c>
      <c r="T7" s="43">
        <f t="shared" si="6"/>
        <v>4858.37352</v>
      </c>
      <c r="U7" s="38">
        <v>7700</v>
      </c>
      <c r="V7" s="39">
        <v>1619.45784</v>
      </c>
      <c r="W7" s="40">
        <f t="shared" si="7"/>
        <v>0.2103192</v>
      </c>
      <c r="X7" s="40">
        <f t="shared" si="8"/>
        <v>0.660474025974026</v>
      </c>
      <c r="Y7" s="40">
        <f t="shared" si="9"/>
        <v>0.777844680826434</v>
      </c>
      <c r="Z7" s="43"/>
      <c r="AA7" s="43"/>
      <c r="AB7" s="47">
        <f>VLOOKUP(B7,[2]查询时间段分门店销售汇总!$D$3:$L$145,9,0)</f>
        <v>14776.99</v>
      </c>
      <c r="AC7" s="47">
        <f>VLOOKUP(B7,[2]查询时间段分门店销售汇总!$D$3:$M$145,10,0)</f>
        <v>4539.81</v>
      </c>
      <c r="AD7" s="48">
        <f t="shared" si="10"/>
        <v>18480</v>
      </c>
      <c r="AE7" s="48">
        <f t="shared" si="11"/>
        <v>4858.37352</v>
      </c>
      <c r="AF7" s="49">
        <v>4620</v>
      </c>
      <c r="AG7" s="49">
        <v>1214.59338</v>
      </c>
      <c r="AH7" s="53">
        <f t="shared" si="12"/>
        <v>0.262899</v>
      </c>
      <c r="AI7" s="53">
        <f t="shared" si="13"/>
        <v>0.799620670995671</v>
      </c>
      <c r="AJ7" s="53">
        <f t="shared" si="14"/>
        <v>0.934430006526135</v>
      </c>
      <c r="AK7" s="48"/>
      <c r="AL7" s="48">
        <f t="shared" si="15"/>
        <v>23100</v>
      </c>
      <c r="AM7" s="48">
        <f t="shared" si="16"/>
        <v>5587.129548</v>
      </c>
      <c r="AN7" s="54">
        <f t="shared" si="17"/>
        <v>0.639696536796537</v>
      </c>
      <c r="AO7" s="54">
        <f t="shared" si="18"/>
        <v>0.812547831761856</v>
      </c>
      <c r="AP7" s="49"/>
      <c r="AQ7" s="49">
        <v>5775</v>
      </c>
      <c r="AR7" s="49">
        <v>1396.782387</v>
      </c>
      <c r="AS7" s="53">
        <f t="shared" si="19"/>
        <v>0.24186708</v>
      </c>
      <c r="AT7" s="125">
        <f t="shared" si="20"/>
        <v>0</v>
      </c>
      <c r="AU7" s="57">
        <v>35</v>
      </c>
      <c r="AV7" s="118">
        <f>VLOOKUP(B7,[4]门店奖励金额汇总!$A:$D,4,0)</f>
        <v>30</v>
      </c>
    </row>
    <row r="8" spans="1:48">
      <c r="A8" s="23">
        <v>6</v>
      </c>
      <c r="B8" s="24">
        <v>343</v>
      </c>
      <c r="C8" s="24" t="s">
        <v>41</v>
      </c>
      <c r="D8" s="24" t="s">
        <v>42</v>
      </c>
      <c r="E8" s="123">
        <f>VLOOKUP(B8,[3]正式员工人数!$A:$C,3,0)</f>
        <v>4</v>
      </c>
      <c r="F8" s="30">
        <v>1</v>
      </c>
      <c r="G8" s="30">
        <v>200</v>
      </c>
      <c r="H8" s="28">
        <f>VLOOKUP(B8,[1]查询时间段分门店销售汇总!$D$3:$L$145,9,0)</f>
        <v>136582.56</v>
      </c>
      <c r="I8" s="28">
        <f>VLOOKUP(B8,[1]查询时间段分门店销售汇总!$D$3:$M$145,10,0)</f>
        <v>26464.91</v>
      </c>
      <c r="J8" s="32">
        <f t="shared" si="0"/>
        <v>120000</v>
      </c>
      <c r="K8" s="32">
        <f t="shared" si="1"/>
        <v>28819.44</v>
      </c>
      <c r="L8" s="38">
        <v>40000</v>
      </c>
      <c r="M8" s="39">
        <v>9606.48</v>
      </c>
      <c r="N8" s="40">
        <f t="shared" si="2"/>
        <v>0.240162</v>
      </c>
      <c r="O8" s="41">
        <f t="shared" si="3"/>
        <v>1.138188</v>
      </c>
      <c r="P8" s="40">
        <f t="shared" si="4"/>
        <v>0.918300633183712</v>
      </c>
      <c r="Q8" s="43"/>
      <c r="R8" s="43"/>
      <c r="S8" s="43">
        <f t="shared" si="5"/>
        <v>132000</v>
      </c>
      <c r="T8" s="43">
        <f t="shared" si="6"/>
        <v>28531.2456</v>
      </c>
      <c r="U8" s="38">
        <v>44000</v>
      </c>
      <c r="V8" s="39">
        <v>9510.4152</v>
      </c>
      <c r="W8" s="40">
        <f t="shared" si="7"/>
        <v>0.2161458</v>
      </c>
      <c r="X8" s="41">
        <f t="shared" si="8"/>
        <v>1.03471636363636</v>
      </c>
      <c r="Y8" s="40">
        <f t="shared" si="9"/>
        <v>0.927576397155265</v>
      </c>
      <c r="Z8" s="43">
        <f>150*E8</f>
        <v>600</v>
      </c>
      <c r="AA8" s="43"/>
      <c r="AB8" s="47">
        <f>VLOOKUP(B8,[2]查询时间段分门店销售汇总!$D$3:$L$145,9,0)</f>
        <v>124766.59</v>
      </c>
      <c r="AC8" s="47">
        <f>VLOOKUP(B8,[2]查询时间段分门店销售汇总!$D$3:$M$145,10,0)</f>
        <v>35206.93</v>
      </c>
      <c r="AD8" s="48">
        <f t="shared" si="10"/>
        <v>105600</v>
      </c>
      <c r="AE8" s="48">
        <f t="shared" si="11"/>
        <v>28531.2456</v>
      </c>
      <c r="AF8" s="49">
        <v>26400</v>
      </c>
      <c r="AG8" s="49">
        <v>7132.8114</v>
      </c>
      <c r="AH8" s="53">
        <f t="shared" si="12"/>
        <v>0.27018225</v>
      </c>
      <c r="AI8" s="41">
        <f t="shared" si="13"/>
        <v>1.18150179924242</v>
      </c>
      <c r="AJ8" s="41">
        <f t="shared" si="14"/>
        <v>1.23397802162553</v>
      </c>
      <c r="AK8" s="48">
        <v>300</v>
      </c>
      <c r="AL8" s="48">
        <f t="shared" si="15"/>
        <v>132000</v>
      </c>
      <c r="AM8" s="48">
        <f t="shared" si="16"/>
        <v>32810.93244</v>
      </c>
      <c r="AN8" s="54">
        <f t="shared" si="17"/>
        <v>0.945201439393939</v>
      </c>
      <c r="AO8" s="54">
        <f t="shared" si="18"/>
        <v>1.07302436663089</v>
      </c>
      <c r="AP8" s="49"/>
      <c r="AQ8" s="49">
        <v>33000</v>
      </c>
      <c r="AR8" s="49">
        <v>8202.73311</v>
      </c>
      <c r="AS8" s="53">
        <f t="shared" si="19"/>
        <v>0.24856767</v>
      </c>
      <c r="AT8" s="125">
        <f t="shared" si="20"/>
        <v>900</v>
      </c>
      <c r="AU8" s="57">
        <v>60</v>
      </c>
      <c r="AV8" s="118">
        <f>VLOOKUP(B8,[4]门店奖励金额汇总!$A:$D,4,0)</f>
        <v>51</v>
      </c>
    </row>
    <row r="9" spans="1:48">
      <c r="A9" s="23">
        <v>7</v>
      </c>
      <c r="B9" s="24">
        <v>365</v>
      </c>
      <c r="C9" s="24" t="s">
        <v>43</v>
      </c>
      <c r="D9" s="24" t="s">
        <v>42</v>
      </c>
      <c r="E9" s="123">
        <f>VLOOKUP(B9,[3]正式员工人数!$A:$C,3,0)</f>
        <v>2</v>
      </c>
      <c r="F9" s="30">
        <v>1</v>
      </c>
      <c r="G9" s="30">
        <v>200</v>
      </c>
      <c r="H9" s="28">
        <f>VLOOKUP(B9,[1]查询时间段分门店销售汇总!$D$3:$L$145,9,0)</f>
        <v>114599.27</v>
      </c>
      <c r="I9" s="28">
        <f>VLOOKUP(B9,[1]查询时间段分门店销售汇总!$D$3:$M$145,10,0)</f>
        <v>33258.36</v>
      </c>
      <c r="J9" s="32">
        <f t="shared" si="0"/>
        <v>78750</v>
      </c>
      <c r="K9" s="32">
        <f t="shared" si="1"/>
        <v>17684.2575</v>
      </c>
      <c r="L9" s="38">
        <v>26250</v>
      </c>
      <c r="M9" s="39">
        <v>5894.7525</v>
      </c>
      <c r="N9" s="40">
        <f t="shared" si="2"/>
        <v>0.224562</v>
      </c>
      <c r="O9" s="41">
        <f t="shared" si="3"/>
        <v>1.45522882539683</v>
      </c>
      <c r="P9" s="41">
        <f t="shared" si="4"/>
        <v>1.88067607588274</v>
      </c>
      <c r="Q9" s="43"/>
      <c r="R9" s="43"/>
      <c r="S9" s="43">
        <f t="shared" si="5"/>
        <v>86625</v>
      </c>
      <c r="T9" s="43">
        <f t="shared" si="6"/>
        <v>17507.414925</v>
      </c>
      <c r="U9" s="38">
        <v>28875</v>
      </c>
      <c r="V9" s="39">
        <v>5835.804975</v>
      </c>
      <c r="W9" s="40">
        <f t="shared" si="7"/>
        <v>0.2021058</v>
      </c>
      <c r="X9" s="41">
        <f t="shared" si="8"/>
        <v>1.3229352958153</v>
      </c>
      <c r="Y9" s="41">
        <f t="shared" si="9"/>
        <v>1.89967280392196</v>
      </c>
      <c r="Z9" s="43">
        <f>150*E9</f>
        <v>300</v>
      </c>
      <c r="AA9" s="43">
        <f>(I9-K9)*0.3</f>
        <v>4672.23075</v>
      </c>
      <c r="AB9" s="47">
        <f>VLOOKUP(B9,[2]查询时间段分门店销售汇总!$D$3:$L$145,9,0)</f>
        <v>70673.17</v>
      </c>
      <c r="AC9" s="47">
        <f>VLOOKUP(B9,[2]查询时间段分门店销售汇总!$D$3:$M$145,10,0)</f>
        <v>14169.37</v>
      </c>
      <c r="AD9" s="48">
        <f t="shared" si="10"/>
        <v>69300</v>
      </c>
      <c r="AE9" s="48">
        <f t="shared" si="11"/>
        <v>17507.414925</v>
      </c>
      <c r="AF9" s="49">
        <v>17325</v>
      </c>
      <c r="AG9" s="49">
        <v>4376.85373125</v>
      </c>
      <c r="AH9" s="53">
        <f t="shared" si="12"/>
        <v>0.25263225</v>
      </c>
      <c r="AI9" s="53">
        <f t="shared" si="13"/>
        <v>1.01981486291486</v>
      </c>
      <c r="AJ9" s="53">
        <f t="shared" si="14"/>
        <v>0.809335362227956</v>
      </c>
      <c r="AK9" s="48"/>
      <c r="AL9" s="48">
        <f t="shared" si="15"/>
        <v>86625</v>
      </c>
      <c r="AM9" s="48">
        <f t="shared" si="16"/>
        <v>20133.52716375</v>
      </c>
      <c r="AN9" s="54">
        <f t="shared" si="17"/>
        <v>0.81585189033189</v>
      </c>
      <c r="AO9" s="54">
        <f t="shared" si="18"/>
        <v>0.703769880198223</v>
      </c>
      <c r="AP9" s="49"/>
      <c r="AQ9" s="49">
        <v>21656.25</v>
      </c>
      <c r="AR9" s="49">
        <v>5033.3817909375</v>
      </c>
      <c r="AS9" s="53">
        <f t="shared" si="19"/>
        <v>0.23242167</v>
      </c>
      <c r="AT9" s="125">
        <f t="shared" si="20"/>
        <v>4972.23075</v>
      </c>
      <c r="AU9" s="57">
        <v>60</v>
      </c>
      <c r="AV9" s="118">
        <f>VLOOKUP(B9,[4]门店奖励金额汇总!$A:$D,4,0)</f>
        <v>50</v>
      </c>
    </row>
    <row r="10" spans="1:48">
      <c r="A10" s="23">
        <v>8</v>
      </c>
      <c r="B10" s="24">
        <v>582</v>
      </c>
      <c r="C10" s="24" t="s">
        <v>44</v>
      </c>
      <c r="D10" s="24" t="s">
        <v>42</v>
      </c>
      <c r="E10" s="123">
        <f>VLOOKUP(B10,[3]正式员工人数!$A:$C,3,0)</f>
        <v>4</v>
      </c>
      <c r="F10" s="30">
        <v>2</v>
      </c>
      <c r="G10" s="30">
        <v>200</v>
      </c>
      <c r="H10" s="28">
        <f>VLOOKUP(B10,[1]查询时间段分门店销售汇总!$D$3:$L$145,9,0)</f>
        <v>136558.79</v>
      </c>
      <c r="I10" s="28">
        <f>VLOOKUP(B10,[1]查询时间段分门店销售汇总!$D$3:$M$145,10,0)</f>
        <v>14444.45</v>
      </c>
      <c r="J10" s="32">
        <f t="shared" si="0"/>
        <v>143100</v>
      </c>
      <c r="K10" s="32">
        <f t="shared" si="1"/>
        <v>18365.454</v>
      </c>
      <c r="L10" s="38">
        <v>47700</v>
      </c>
      <c r="M10" s="39">
        <v>6121.818</v>
      </c>
      <c r="N10" s="40">
        <f t="shared" si="2"/>
        <v>0.12834</v>
      </c>
      <c r="O10" s="40">
        <f t="shared" si="3"/>
        <v>0.954289238294899</v>
      </c>
      <c r="P10" s="40">
        <f t="shared" si="4"/>
        <v>0.786501112360195</v>
      </c>
      <c r="Q10" s="43"/>
      <c r="R10" s="43"/>
      <c r="S10" s="43">
        <f t="shared" si="5"/>
        <v>157410</v>
      </c>
      <c r="T10" s="43">
        <f t="shared" si="6"/>
        <v>18181.79946</v>
      </c>
      <c r="U10" s="38">
        <v>52470</v>
      </c>
      <c r="V10" s="39">
        <v>6060.59982</v>
      </c>
      <c r="W10" s="40">
        <f t="shared" si="7"/>
        <v>0.115506</v>
      </c>
      <c r="X10" s="40">
        <f t="shared" si="8"/>
        <v>0.867535671177181</v>
      </c>
      <c r="Y10" s="40">
        <f t="shared" si="9"/>
        <v>0.794445568040601</v>
      </c>
      <c r="Z10" s="43"/>
      <c r="AA10" s="43"/>
      <c r="AB10" s="47">
        <f>VLOOKUP(B10,[2]查询时间段分门店销售汇总!$D$3:$L$145,9,0)</f>
        <v>112562.21</v>
      </c>
      <c r="AC10" s="47">
        <f>VLOOKUP(B10,[2]查询时间段分门店销售汇总!$D$3:$M$145,10,0)</f>
        <v>18774.26</v>
      </c>
      <c r="AD10" s="48">
        <f t="shared" si="10"/>
        <v>125928</v>
      </c>
      <c r="AE10" s="48">
        <f t="shared" si="11"/>
        <v>18181.79946</v>
      </c>
      <c r="AF10" s="49">
        <v>31482</v>
      </c>
      <c r="AG10" s="49">
        <v>4545.449865</v>
      </c>
      <c r="AH10" s="53">
        <f t="shared" si="12"/>
        <v>0.1443825</v>
      </c>
      <c r="AI10" s="53">
        <f t="shared" si="13"/>
        <v>0.893861651102217</v>
      </c>
      <c r="AJ10" s="53">
        <f t="shared" si="14"/>
        <v>1.03258536325315</v>
      </c>
      <c r="AK10" s="48"/>
      <c r="AL10" s="48">
        <f t="shared" si="15"/>
        <v>157410</v>
      </c>
      <c r="AM10" s="48">
        <f t="shared" si="16"/>
        <v>20909.069379</v>
      </c>
      <c r="AN10" s="54">
        <f t="shared" si="17"/>
        <v>0.715089320881774</v>
      </c>
      <c r="AO10" s="54">
        <f t="shared" si="18"/>
        <v>0.897900315872303</v>
      </c>
      <c r="AP10" s="49"/>
      <c r="AQ10" s="49">
        <v>39352.5</v>
      </c>
      <c r="AR10" s="49">
        <v>5227.26734475</v>
      </c>
      <c r="AS10" s="53">
        <f t="shared" si="19"/>
        <v>0.1328319</v>
      </c>
      <c r="AT10" s="125">
        <f t="shared" si="20"/>
        <v>0</v>
      </c>
      <c r="AU10" s="57">
        <v>40</v>
      </c>
      <c r="AV10" s="118">
        <f>VLOOKUP(B10,[4]门店奖励金额汇总!$A:$D,4,0)</f>
        <v>0</v>
      </c>
    </row>
    <row r="11" spans="1:48">
      <c r="A11" s="23">
        <v>9</v>
      </c>
      <c r="B11" s="24">
        <v>117491</v>
      </c>
      <c r="C11" s="24" t="s">
        <v>45</v>
      </c>
      <c r="D11" s="24" t="s">
        <v>42</v>
      </c>
      <c r="E11" s="123">
        <f>VLOOKUP(B11,[3]正式员工人数!$A:$C,3,0)</f>
        <v>2</v>
      </c>
      <c r="F11" s="30">
        <v>2</v>
      </c>
      <c r="G11" s="30">
        <v>200</v>
      </c>
      <c r="H11" s="28">
        <f>VLOOKUP(B11,[1]查询时间段分门店销售汇总!$D$3:$L$145,9,0)</f>
        <v>62549.4</v>
      </c>
      <c r="I11" s="28">
        <f>VLOOKUP(B11,[1]查询时间段分门店销售汇总!$D$3:$M$145,10,0)</f>
        <v>8344.39</v>
      </c>
      <c r="J11" s="32">
        <f t="shared" si="0"/>
        <v>71250</v>
      </c>
      <c r="K11" s="32">
        <f t="shared" si="1"/>
        <v>14449.5</v>
      </c>
      <c r="L11" s="38">
        <v>23750</v>
      </c>
      <c r="M11" s="39">
        <v>4816.5</v>
      </c>
      <c r="N11" s="40">
        <f t="shared" si="2"/>
        <v>0.2028</v>
      </c>
      <c r="O11" s="40">
        <f t="shared" si="3"/>
        <v>0.877886315789474</v>
      </c>
      <c r="P11" s="40">
        <f t="shared" si="4"/>
        <v>0.577486418215163</v>
      </c>
      <c r="Q11" s="43"/>
      <c r="R11" s="43"/>
      <c r="S11" s="43">
        <f t="shared" si="5"/>
        <v>78375</v>
      </c>
      <c r="T11" s="43">
        <f t="shared" si="6"/>
        <v>14305.005</v>
      </c>
      <c r="U11" s="38">
        <v>26125</v>
      </c>
      <c r="V11" s="39">
        <v>4768.335</v>
      </c>
      <c r="W11" s="40">
        <f t="shared" si="7"/>
        <v>0.18252</v>
      </c>
      <c r="X11" s="40">
        <f t="shared" si="8"/>
        <v>0.798078468899521</v>
      </c>
      <c r="Y11" s="40">
        <f t="shared" si="9"/>
        <v>0.583319614358751</v>
      </c>
      <c r="Z11" s="43"/>
      <c r="AA11" s="43"/>
      <c r="AB11" s="47">
        <f>VLOOKUP(B11,[2]查询时间段分门店销售汇总!$D$3:$L$145,9,0)</f>
        <v>34654.44</v>
      </c>
      <c r="AC11" s="47">
        <f>VLOOKUP(B11,[2]查询时间段分门店销售汇总!$D$3:$M$145,10,0)</f>
        <v>7132.56</v>
      </c>
      <c r="AD11" s="48">
        <f t="shared" si="10"/>
        <v>62700</v>
      </c>
      <c r="AE11" s="48">
        <f t="shared" si="11"/>
        <v>14305.005</v>
      </c>
      <c r="AF11" s="49">
        <v>15675</v>
      </c>
      <c r="AG11" s="49">
        <v>3576.25125</v>
      </c>
      <c r="AH11" s="53">
        <f t="shared" si="12"/>
        <v>0.22815</v>
      </c>
      <c r="AI11" s="53">
        <f t="shared" si="13"/>
        <v>0.552702392344498</v>
      </c>
      <c r="AJ11" s="53">
        <f t="shared" si="14"/>
        <v>0.49860590751279</v>
      </c>
      <c r="AK11" s="48"/>
      <c r="AL11" s="48">
        <f t="shared" si="15"/>
        <v>78375</v>
      </c>
      <c r="AM11" s="48">
        <f t="shared" si="16"/>
        <v>16450.75575</v>
      </c>
      <c r="AN11" s="54">
        <f t="shared" si="17"/>
        <v>0.442161913875598</v>
      </c>
      <c r="AO11" s="54">
        <f t="shared" si="18"/>
        <v>0.433570354358948</v>
      </c>
      <c r="AP11" s="49"/>
      <c r="AQ11" s="49">
        <v>19593.75</v>
      </c>
      <c r="AR11" s="49">
        <v>4112.6889375</v>
      </c>
      <c r="AS11" s="53">
        <f t="shared" si="19"/>
        <v>0.209898</v>
      </c>
      <c r="AT11" s="125">
        <f t="shared" si="20"/>
        <v>0</v>
      </c>
      <c r="AU11" s="57">
        <v>35</v>
      </c>
      <c r="AV11" s="118">
        <f>VLOOKUP(B11,[4]门店奖励金额汇总!$A:$D,4,0)</f>
        <v>1</v>
      </c>
    </row>
    <row r="12" spans="1:48">
      <c r="A12" s="23">
        <v>10</v>
      </c>
      <c r="B12" s="24">
        <v>359</v>
      </c>
      <c r="C12" s="24" t="s">
        <v>46</v>
      </c>
      <c r="D12" s="24" t="s">
        <v>42</v>
      </c>
      <c r="E12" s="123">
        <f>VLOOKUP(B12,[3]正式员工人数!$A:$C,3,0)</f>
        <v>2</v>
      </c>
      <c r="F12" s="30">
        <v>3</v>
      </c>
      <c r="G12" s="30">
        <v>150</v>
      </c>
      <c r="H12" s="28">
        <f>VLOOKUP(B12,[1]查询时间段分门店销售汇总!$D$3:$L$145,9,0)</f>
        <v>60404.49</v>
      </c>
      <c r="I12" s="28">
        <f>VLOOKUP(B12,[1]查询时间段分门店销售汇总!$D$3:$M$145,10,0)</f>
        <v>13847.82</v>
      </c>
      <c r="J12" s="32">
        <f t="shared" si="0"/>
        <v>56160</v>
      </c>
      <c r="K12" s="32">
        <f t="shared" si="1"/>
        <v>10381.7376</v>
      </c>
      <c r="L12" s="38">
        <v>18720</v>
      </c>
      <c r="M12" s="39">
        <v>3460.5792</v>
      </c>
      <c r="N12" s="40">
        <f t="shared" si="2"/>
        <v>0.18486</v>
      </c>
      <c r="O12" s="41">
        <f t="shared" si="3"/>
        <v>1.07557852564103</v>
      </c>
      <c r="P12" s="41">
        <f t="shared" si="4"/>
        <v>1.33386341800818</v>
      </c>
      <c r="Q12" s="43">
        <f>E12*70</f>
        <v>140</v>
      </c>
      <c r="R12" s="43">
        <f>(I12-K12)*0.2</f>
        <v>693.21648</v>
      </c>
      <c r="S12" s="43">
        <f t="shared" si="5"/>
        <v>61776</v>
      </c>
      <c r="T12" s="43">
        <f t="shared" si="6"/>
        <v>10277.920224</v>
      </c>
      <c r="U12" s="38">
        <v>20592</v>
      </c>
      <c r="V12" s="39">
        <v>3425.973408</v>
      </c>
      <c r="W12" s="40">
        <f t="shared" si="7"/>
        <v>0.166374</v>
      </c>
      <c r="X12" s="40">
        <f t="shared" si="8"/>
        <v>0.97779865967366</v>
      </c>
      <c r="Y12" s="41">
        <f t="shared" si="9"/>
        <v>1.34733678586684</v>
      </c>
      <c r="Z12" s="43"/>
      <c r="AA12" s="43"/>
      <c r="AB12" s="47">
        <f>VLOOKUP(B12,[2]查询时间段分门店销售汇总!$D$3:$L$145,9,0)</f>
        <v>29515.28</v>
      </c>
      <c r="AC12" s="47">
        <f>VLOOKUP(B12,[2]查询时间段分门店销售汇总!$D$3:$M$145,10,0)</f>
        <v>6260.09</v>
      </c>
      <c r="AD12" s="48">
        <f t="shared" si="10"/>
        <v>49420.8</v>
      </c>
      <c r="AE12" s="48">
        <f t="shared" si="11"/>
        <v>10277.920224</v>
      </c>
      <c r="AF12" s="49">
        <v>12355.2</v>
      </c>
      <c r="AG12" s="49">
        <v>2569.480056</v>
      </c>
      <c r="AH12" s="53">
        <f t="shared" si="12"/>
        <v>0.2079675</v>
      </c>
      <c r="AI12" s="53">
        <f t="shared" si="13"/>
        <v>0.597223840973841</v>
      </c>
      <c r="AJ12" s="53">
        <f t="shared" si="14"/>
        <v>0.609081396193565</v>
      </c>
      <c r="AK12" s="48"/>
      <c r="AL12" s="48">
        <f t="shared" si="15"/>
        <v>61776</v>
      </c>
      <c r="AM12" s="48">
        <f t="shared" si="16"/>
        <v>11819.6082576</v>
      </c>
      <c r="AN12" s="54">
        <f t="shared" si="17"/>
        <v>0.477779072779073</v>
      </c>
      <c r="AO12" s="54">
        <f t="shared" si="18"/>
        <v>0.529635996690057</v>
      </c>
      <c r="AP12" s="49"/>
      <c r="AQ12" s="49">
        <v>15444</v>
      </c>
      <c r="AR12" s="49">
        <v>2954.9020644</v>
      </c>
      <c r="AS12" s="53">
        <f t="shared" si="19"/>
        <v>0.1913301</v>
      </c>
      <c r="AT12" s="125">
        <f t="shared" si="20"/>
        <v>833.21648</v>
      </c>
      <c r="AU12" s="57">
        <v>50</v>
      </c>
      <c r="AV12" s="118">
        <f>VLOOKUP(B12,[4]门店奖励金额汇总!$A:$D,4,0)</f>
        <v>28</v>
      </c>
    </row>
    <row r="13" spans="1:48">
      <c r="A13" s="23">
        <v>11</v>
      </c>
      <c r="B13" s="24">
        <v>357</v>
      </c>
      <c r="C13" s="24" t="s">
        <v>47</v>
      </c>
      <c r="D13" s="24" t="s">
        <v>42</v>
      </c>
      <c r="E13" s="123">
        <f>VLOOKUP(B13,[3]正式员工人数!$A:$C,3,0)</f>
        <v>3</v>
      </c>
      <c r="F13" s="30">
        <v>3</v>
      </c>
      <c r="G13" s="30">
        <v>150</v>
      </c>
      <c r="H13" s="28">
        <f>VLOOKUP(B13,[1]查询时间段分门店销售汇总!$D$3:$L$145,9,0)</f>
        <v>104447.78</v>
      </c>
      <c r="I13" s="28">
        <f>VLOOKUP(B13,[1]查询时间段分门店销售汇总!$D$3:$M$145,10,0)</f>
        <v>26452.36</v>
      </c>
      <c r="J13" s="32">
        <f t="shared" si="0"/>
        <v>54000</v>
      </c>
      <c r="K13" s="32">
        <f t="shared" si="1"/>
        <v>12277.98</v>
      </c>
      <c r="L13" s="38">
        <v>18000</v>
      </c>
      <c r="M13" s="39">
        <v>4092.66</v>
      </c>
      <c r="N13" s="40">
        <f t="shared" si="2"/>
        <v>0.22737</v>
      </c>
      <c r="O13" s="41">
        <f t="shared" si="3"/>
        <v>1.93421814814815</v>
      </c>
      <c r="P13" s="41">
        <f t="shared" si="4"/>
        <v>2.15445537458116</v>
      </c>
      <c r="Q13" s="43"/>
      <c r="R13" s="43"/>
      <c r="S13" s="43">
        <f t="shared" si="5"/>
        <v>59400</v>
      </c>
      <c r="T13" s="43">
        <f t="shared" si="6"/>
        <v>12155.2002</v>
      </c>
      <c r="U13" s="38">
        <v>19800</v>
      </c>
      <c r="V13" s="39">
        <v>4051.7334</v>
      </c>
      <c r="W13" s="40">
        <f t="shared" si="7"/>
        <v>0.204633</v>
      </c>
      <c r="X13" s="41">
        <f t="shared" si="8"/>
        <v>1.75838013468013</v>
      </c>
      <c r="Y13" s="41">
        <f t="shared" si="9"/>
        <v>2.17621755008198</v>
      </c>
      <c r="Z13" s="43">
        <f>150*E13</f>
        <v>450</v>
      </c>
      <c r="AA13" s="43">
        <f>(I13-K13)*0.3</f>
        <v>4252.314</v>
      </c>
      <c r="AB13" s="47">
        <f>VLOOKUP(B13,[2]查询时间段分门店销售汇总!$D$3:$L$145,9,0)</f>
        <v>58726.15</v>
      </c>
      <c r="AC13" s="47">
        <f>VLOOKUP(B13,[2]查询时间段分门店销售汇总!$D$3:$M$145,10,0)</f>
        <v>14860.02</v>
      </c>
      <c r="AD13" s="48">
        <f t="shared" si="10"/>
        <v>47520</v>
      </c>
      <c r="AE13" s="48">
        <f t="shared" si="11"/>
        <v>12155.2002</v>
      </c>
      <c r="AF13" s="49">
        <v>11880</v>
      </c>
      <c r="AG13" s="49">
        <v>3038.80005</v>
      </c>
      <c r="AH13" s="53">
        <f t="shared" si="12"/>
        <v>0.25579125</v>
      </c>
      <c r="AI13" s="41">
        <f t="shared" si="13"/>
        <v>1.23581965488215</v>
      </c>
      <c r="AJ13" s="41">
        <f t="shared" si="14"/>
        <v>1.22252367344801</v>
      </c>
      <c r="AK13" s="48">
        <v>500</v>
      </c>
      <c r="AL13" s="48">
        <f t="shared" si="15"/>
        <v>59400</v>
      </c>
      <c r="AM13" s="48">
        <f t="shared" si="16"/>
        <v>13978.48023</v>
      </c>
      <c r="AN13" s="54">
        <f t="shared" si="17"/>
        <v>0.988655723905724</v>
      </c>
      <c r="AO13" s="54">
        <f t="shared" si="18"/>
        <v>1.06306406386784</v>
      </c>
      <c r="AP13" s="49"/>
      <c r="AQ13" s="49">
        <v>14850</v>
      </c>
      <c r="AR13" s="49">
        <v>3494.6200575</v>
      </c>
      <c r="AS13" s="53">
        <f t="shared" si="19"/>
        <v>0.23532795</v>
      </c>
      <c r="AT13" s="125">
        <f t="shared" si="20"/>
        <v>5202.314</v>
      </c>
      <c r="AU13" s="57">
        <v>60</v>
      </c>
      <c r="AV13" s="118">
        <f>VLOOKUP(B13,[4]门店奖励金额汇总!$A:$D,4,0)</f>
        <v>43</v>
      </c>
    </row>
    <row r="14" spans="1:49">
      <c r="A14" s="23">
        <v>12</v>
      </c>
      <c r="B14" s="24">
        <v>102934</v>
      </c>
      <c r="C14" s="24" t="s">
        <v>48</v>
      </c>
      <c r="D14" s="24" t="s">
        <v>42</v>
      </c>
      <c r="E14" s="123">
        <f>VLOOKUP(B14,[3]正式员工人数!$A:$C,3,0)</f>
        <v>2</v>
      </c>
      <c r="F14" s="30">
        <v>3</v>
      </c>
      <c r="G14" s="30">
        <v>150</v>
      </c>
      <c r="H14" s="28">
        <f>VLOOKUP(B14,[1]查询时间段分门店销售汇总!$D$3:$L$145,9,0)</f>
        <v>64977.71</v>
      </c>
      <c r="I14" s="28">
        <f>VLOOKUP(B14,[1]查询时间段分门店销售汇总!$D$3:$M$145,10,0)</f>
        <v>12443.58</v>
      </c>
      <c r="J14" s="32">
        <f t="shared" si="0"/>
        <v>54000</v>
      </c>
      <c r="K14" s="32">
        <f t="shared" si="1"/>
        <v>11583</v>
      </c>
      <c r="L14" s="38">
        <v>18000</v>
      </c>
      <c r="M14" s="39">
        <v>3861</v>
      </c>
      <c r="N14" s="40">
        <f t="shared" si="2"/>
        <v>0.2145</v>
      </c>
      <c r="O14" s="41">
        <f t="shared" si="3"/>
        <v>1.20329092592593</v>
      </c>
      <c r="P14" s="41">
        <f t="shared" si="4"/>
        <v>1.07429681429681</v>
      </c>
      <c r="Q14" s="43"/>
      <c r="R14" s="43"/>
      <c r="S14" s="43">
        <f t="shared" si="5"/>
        <v>59400</v>
      </c>
      <c r="T14" s="43">
        <f t="shared" si="6"/>
        <v>11467.17</v>
      </c>
      <c r="U14" s="38">
        <v>19800</v>
      </c>
      <c r="V14" s="39">
        <v>3822.39</v>
      </c>
      <c r="W14" s="40">
        <f t="shared" si="7"/>
        <v>0.19305</v>
      </c>
      <c r="X14" s="41">
        <f t="shared" si="8"/>
        <v>1.09390084175084</v>
      </c>
      <c r="Y14" s="41">
        <f t="shared" si="9"/>
        <v>1.08514829726951</v>
      </c>
      <c r="Z14" s="43">
        <f>150*E14</f>
        <v>300</v>
      </c>
      <c r="AA14" s="43">
        <f>(I14-K14)*0.3</f>
        <v>258.174</v>
      </c>
      <c r="AB14" s="47">
        <f>VLOOKUP(B14,[2]查询时间段分门店销售汇总!$D$3:$L$145,9,0)</f>
        <v>41359.47</v>
      </c>
      <c r="AC14" s="47">
        <f>VLOOKUP(B14,[2]查询时间段分门店销售汇总!$D$3:$M$145,10,0)</f>
        <v>10563.52</v>
      </c>
      <c r="AD14" s="48">
        <f t="shared" si="10"/>
        <v>47520</v>
      </c>
      <c r="AE14" s="48">
        <f t="shared" si="11"/>
        <v>11467.17</v>
      </c>
      <c r="AF14" s="49">
        <v>11880</v>
      </c>
      <c r="AG14" s="49">
        <v>2866.7925</v>
      </c>
      <c r="AH14" s="53">
        <f t="shared" si="12"/>
        <v>0.2413125</v>
      </c>
      <c r="AI14" s="53">
        <f t="shared" si="13"/>
        <v>0.870359217171717</v>
      </c>
      <c r="AJ14" s="53">
        <f t="shared" si="14"/>
        <v>0.921196773048625</v>
      </c>
      <c r="AK14" s="48"/>
      <c r="AL14" s="48">
        <f t="shared" si="15"/>
        <v>59400</v>
      </c>
      <c r="AM14" s="48">
        <f t="shared" si="16"/>
        <v>13187.2455</v>
      </c>
      <c r="AN14" s="54">
        <f t="shared" si="17"/>
        <v>0.696287373737374</v>
      </c>
      <c r="AO14" s="54">
        <f t="shared" si="18"/>
        <v>0.801040672216196</v>
      </c>
      <c r="AP14" s="49"/>
      <c r="AQ14" s="49">
        <v>14850</v>
      </c>
      <c r="AR14" s="49">
        <v>3296.811375</v>
      </c>
      <c r="AS14" s="53">
        <f t="shared" si="19"/>
        <v>0.2220075</v>
      </c>
      <c r="AT14" s="125">
        <f t="shared" si="20"/>
        <v>558.174</v>
      </c>
      <c r="AU14" s="57">
        <v>50</v>
      </c>
      <c r="AV14" s="128">
        <f>VLOOKUP(B14,[4]门店奖励金额汇总!$A:$D,4,0)</f>
        <v>106</v>
      </c>
      <c r="AW14" s="76">
        <f>AV14*4</f>
        <v>424</v>
      </c>
    </row>
    <row r="15" spans="1:48">
      <c r="A15" s="23">
        <v>13</v>
      </c>
      <c r="B15" s="24">
        <v>379</v>
      </c>
      <c r="C15" s="24" t="s">
        <v>49</v>
      </c>
      <c r="D15" s="24" t="s">
        <v>42</v>
      </c>
      <c r="E15" s="123">
        <f>VLOOKUP(B15,[3]正式员工人数!$A:$C,3,0)</f>
        <v>3</v>
      </c>
      <c r="F15" s="30">
        <v>4</v>
      </c>
      <c r="G15" s="30">
        <v>150</v>
      </c>
      <c r="H15" s="28">
        <f>VLOOKUP(B15,[1]查询时间段分门店销售汇总!$D$3:$L$145,9,0)</f>
        <v>55018.58</v>
      </c>
      <c r="I15" s="28">
        <f>VLOOKUP(B15,[1]查询时间段分门店销售汇总!$D$3:$M$145,10,0)</f>
        <v>12217.82</v>
      </c>
      <c r="J15" s="32">
        <f t="shared" si="0"/>
        <v>54750</v>
      </c>
      <c r="K15" s="32">
        <f t="shared" si="1"/>
        <v>11825.0145</v>
      </c>
      <c r="L15" s="38">
        <v>18250</v>
      </c>
      <c r="M15" s="39">
        <v>3941.6715</v>
      </c>
      <c r="N15" s="40">
        <f t="shared" si="2"/>
        <v>0.215982</v>
      </c>
      <c r="O15" s="41">
        <f t="shared" si="3"/>
        <v>1.00490557077626</v>
      </c>
      <c r="P15" s="41">
        <f t="shared" si="4"/>
        <v>1.03321818336882</v>
      </c>
      <c r="Q15" s="43">
        <f>E15*70</f>
        <v>210</v>
      </c>
      <c r="R15" s="43">
        <f>(I15-K15)*0.2</f>
        <v>78.5611000000001</v>
      </c>
      <c r="S15" s="43">
        <f t="shared" si="5"/>
        <v>60225</v>
      </c>
      <c r="T15" s="43">
        <f t="shared" si="6"/>
        <v>11706.764355</v>
      </c>
      <c r="U15" s="38">
        <v>20075</v>
      </c>
      <c r="V15" s="39">
        <v>3902.254785</v>
      </c>
      <c r="W15" s="40">
        <f t="shared" si="7"/>
        <v>0.1943838</v>
      </c>
      <c r="X15" s="40">
        <f t="shared" si="8"/>
        <v>0.913550518887505</v>
      </c>
      <c r="Y15" s="41">
        <f t="shared" si="9"/>
        <v>1.04365473067558</v>
      </c>
      <c r="Z15" s="43"/>
      <c r="AA15" s="43"/>
      <c r="AB15" s="47">
        <f>VLOOKUP(B15,[2]查询时间段分门店销售汇总!$D$3:$L$145,9,0)</f>
        <v>43339.49</v>
      </c>
      <c r="AC15" s="47">
        <f>VLOOKUP(B15,[2]查询时间段分门店销售汇总!$D$3:$M$145,10,0)</f>
        <v>9453.52</v>
      </c>
      <c r="AD15" s="48">
        <f t="shared" si="10"/>
        <v>48180</v>
      </c>
      <c r="AE15" s="48">
        <f t="shared" si="11"/>
        <v>11706.764355</v>
      </c>
      <c r="AF15" s="49">
        <v>12045</v>
      </c>
      <c r="AG15" s="49">
        <v>2926.69108875</v>
      </c>
      <c r="AH15" s="53">
        <f t="shared" si="12"/>
        <v>0.24297975</v>
      </c>
      <c r="AI15" s="53">
        <f t="shared" si="13"/>
        <v>0.899532793690328</v>
      </c>
      <c r="AJ15" s="53">
        <f t="shared" si="14"/>
        <v>0.807526291067982</v>
      </c>
      <c r="AK15" s="48"/>
      <c r="AL15" s="48">
        <f t="shared" si="15"/>
        <v>60225</v>
      </c>
      <c r="AM15" s="48">
        <f t="shared" si="16"/>
        <v>13462.77900825</v>
      </c>
      <c r="AN15" s="54">
        <f t="shared" si="17"/>
        <v>0.719626234952262</v>
      </c>
      <c r="AO15" s="54">
        <f t="shared" si="18"/>
        <v>0.702196774841723</v>
      </c>
      <c r="AP15" s="49"/>
      <c r="AQ15" s="49">
        <v>15056.25</v>
      </c>
      <c r="AR15" s="49">
        <v>3365.6947520625</v>
      </c>
      <c r="AS15" s="53">
        <f t="shared" si="19"/>
        <v>0.22354137</v>
      </c>
      <c r="AT15" s="125">
        <f t="shared" si="20"/>
        <v>288.5611</v>
      </c>
      <c r="AU15" s="57">
        <v>50</v>
      </c>
      <c r="AV15" s="118">
        <f>VLOOKUP(B15,[4]门店奖励金额汇总!$A:$D,4,0)</f>
        <v>41</v>
      </c>
    </row>
    <row r="16" spans="1:49">
      <c r="A16" s="23">
        <v>14</v>
      </c>
      <c r="B16" s="24">
        <v>513</v>
      </c>
      <c r="C16" s="24" t="s">
        <v>50</v>
      </c>
      <c r="D16" s="24" t="s">
        <v>42</v>
      </c>
      <c r="E16" s="123">
        <f>VLOOKUP(B16,[3]正式员工人数!$A:$C,3,0)</f>
        <v>3</v>
      </c>
      <c r="F16" s="30">
        <v>4</v>
      </c>
      <c r="G16" s="30">
        <v>150</v>
      </c>
      <c r="H16" s="28">
        <f>VLOOKUP(B16,[1]查询时间段分门店销售汇总!$D$3:$L$145,9,0)</f>
        <v>61383.92</v>
      </c>
      <c r="I16" s="28">
        <f>VLOOKUP(B16,[1]查询时间段分门店销售汇总!$D$3:$M$145,10,0)</f>
        <v>11177.72</v>
      </c>
      <c r="J16" s="32">
        <f t="shared" si="0"/>
        <v>54000</v>
      </c>
      <c r="K16" s="32">
        <f t="shared" si="1"/>
        <v>13988.052</v>
      </c>
      <c r="L16" s="38">
        <v>18000</v>
      </c>
      <c r="M16" s="39">
        <v>4662.684</v>
      </c>
      <c r="N16" s="40">
        <f t="shared" si="2"/>
        <v>0.259038</v>
      </c>
      <c r="O16" s="41">
        <f t="shared" si="3"/>
        <v>1.13673925925926</v>
      </c>
      <c r="P16" s="40">
        <f t="shared" si="4"/>
        <v>0.799090538124965</v>
      </c>
      <c r="Q16" s="43"/>
      <c r="R16" s="43"/>
      <c r="S16" s="43">
        <f t="shared" si="5"/>
        <v>59400</v>
      </c>
      <c r="T16" s="43">
        <f t="shared" si="6"/>
        <v>13848.17148</v>
      </c>
      <c r="U16" s="38">
        <v>19800</v>
      </c>
      <c r="V16" s="39">
        <v>4616.05716</v>
      </c>
      <c r="W16" s="40">
        <f t="shared" si="7"/>
        <v>0.2331342</v>
      </c>
      <c r="X16" s="41">
        <f t="shared" si="8"/>
        <v>1.03339932659933</v>
      </c>
      <c r="Y16" s="40">
        <f t="shared" si="9"/>
        <v>0.807162159722187</v>
      </c>
      <c r="Z16" s="43">
        <f>150*E16</f>
        <v>450</v>
      </c>
      <c r="AA16" s="43"/>
      <c r="AB16" s="47">
        <f>VLOOKUP(B16,[2]查询时间段分门店销售汇总!$D$3:$L$145,9,0)</f>
        <v>33383.05</v>
      </c>
      <c r="AC16" s="47">
        <f>VLOOKUP(B16,[2]查询时间段分门店销售汇总!$D$3:$M$145,10,0)</f>
        <v>7625.15</v>
      </c>
      <c r="AD16" s="48">
        <f t="shared" si="10"/>
        <v>47520</v>
      </c>
      <c r="AE16" s="48">
        <f t="shared" si="11"/>
        <v>13848.17148</v>
      </c>
      <c r="AF16" s="49">
        <v>11880</v>
      </c>
      <c r="AG16" s="49">
        <v>3462.04287</v>
      </c>
      <c r="AH16" s="53">
        <f t="shared" si="12"/>
        <v>0.29141775</v>
      </c>
      <c r="AI16" s="53">
        <f t="shared" si="13"/>
        <v>0.702505260942761</v>
      </c>
      <c r="AJ16" s="53">
        <f t="shared" si="14"/>
        <v>0.550625041797937</v>
      </c>
      <c r="AK16" s="48"/>
      <c r="AL16" s="48">
        <f t="shared" si="15"/>
        <v>59400</v>
      </c>
      <c r="AM16" s="48">
        <f t="shared" si="16"/>
        <v>15925.397202</v>
      </c>
      <c r="AN16" s="54">
        <f t="shared" si="17"/>
        <v>0.562004208754209</v>
      </c>
      <c r="AO16" s="54">
        <f t="shared" si="18"/>
        <v>0.478804384172119</v>
      </c>
      <c r="AP16" s="49"/>
      <c r="AQ16" s="49">
        <v>14850</v>
      </c>
      <c r="AR16" s="49">
        <v>3981.3493005</v>
      </c>
      <c r="AS16" s="53">
        <f t="shared" si="19"/>
        <v>0.26810433</v>
      </c>
      <c r="AT16" s="125">
        <f t="shared" si="20"/>
        <v>450</v>
      </c>
      <c r="AU16" s="57">
        <v>50</v>
      </c>
      <c r="AV16" s="128">
        <f>VLOOKUP(B16,[4]门店奖励金额汇总!$A:$D,4,0)</f>
        <v>95</v>
      </c>
      <c r="AW16" s="76">
        <f>AV16*4</f>
        <v>380</v>
      </c>
    </row>
    <row r="17" spans="1:49">
      <c r="A17" s="23">
        <v>15</v>
      </c>
      <c r="B17" s="24">
        <v>111219</v>
      </c>
      <c r="C17" s="24" t="s">
        <v>51</v>
      </c>
      <c r="D17" s="24" t="s">
        <v>42</v>
      </c>
      <c r="E17" s="123">
        <f>VLOOKUP(B17,[3]正式员工人数!$A:$C,3,0)</f>
        <v>3</v>
      </c>
      <c r="F17" s="30">
        <v>5</v>
      </c>
      <c r="G17" s="30">
        <v>150</v>
      </c>
      <c r="H17" s="28">
        <f>VLOOKUP(B17,[1]查询时间段分门店销售汇总!$D$3:$L$145,9,0)</f>
        <v>51384.78</v>
      </c>
      <c r="I17" s="28">
        <f>VLOOKUP(B17,[1]查询时间段分门店销售汇总!$D$3:$M$145,10,0)</f>
        <v>13511.61</v>
      </c>
      <c r="J17" s="32">
        <f t="shared" si="0"/>
        <v>48960</v>
      </c>
      <c r="K17" s="32">
        <f t="shared" si="1"/>
        <v>12449.5488</v>
      </c>
      <c r="L17" s="38">
        <v>16320</v>
      </c>
      <c r="M17" s="39">
        <v>4149.8496</v>
      </c>
      <c r="N17" s="40">
        <f t="shared" si="2"/>
        <v>0.25428</v>
      </c>
      <c r="O17" s="41">
        <f t="shared" si="3"/>
        <v>1.04952573529412</v>
      </c>
      <c r="P17" s="41">
        <f t="shared" si="4"/>
        <v>1.08530921217</v>
      </c>
      <c r="Q17" s="43">
        <f>E17*70</f>
        <v>210</v>
      </c>
      <c r="R17" s="43">
        <f>(I17-K17)*0.2</f>
        <v>212.41224</v>
      </c>
      <c r="S17" s="43">
        <f t="shared" si="5"/>
        <v>53856</v>
      </c>
      <c r="T17" s="43">
        <f t="shared" si="6"/>
        <v>12325.053312</v>
      </c>
      <c r="U17" s="38">
        <v>17952</v>
      </c>
      <c r="V17" s="39">
        <v>4108.351104</v>
      </c>
      <c r="W17" s="40">
        <f t="shared" si="7"/>
        <v>0.228852</v>
      </c>
      <c r="X17" s="40">
        <f t="shared" si="8"/>
        <v>0.954114304812834</v>
      </c>
      <c r="Y17" s="41">
        <f t="shared" si="9"/>
        <v>1.09627193148485</v>
      </c>
      <c r="Z17" s="43"/>
      <c r="AA17" s="43"/>
      <c r="AB17" s="47">
        <f>VLOOKUP(B17,[2]查询时间段分门店销售汇总!$D$3:$L$145,9,0)</f>
        <v>48128.31</v>
      </c>
      <c r="AC17" s="47">
        <f>VLOOKUP(B17,[2]查询时间段分门店销售汇总!$D$3:$M$145,10,0)</f>
        <v>10704.08</v>
      </c>
      <c r="AD17" s="48">
        <f t="shared" si="10"/>
        <v>43084.8</v>
      </c>
      <c r="AE17" s="48">
        <f t="shared" si="11"/>
        <v>12325.053312</v>
      </c>
      <c r="AF17" s="49">
        <v>10771.2</v>
      </c>
      <c r="AG17" s="49">
        <v>3081.263328</v>
      </c>
      <c r="AH17" s="53">
        <f t="shared" si="12"/>
        <v>0.286065</v>
      </c>
      <c r="AI17" s="53">
        <f t="shared" si="13"/>
        <v>1.11706007687166</v>
      </c>
      <c r="AJ17" s="53">
        <f t="shared" si="14"/>
        <v>0.868481436066343</v>
      </c>
      <c r="AK17" s="48"/>
      <c r="AL17" s="48">
        <f t="shared" si="15"/>
        <v>53856</v>
      </c>
      <c r="AM17" s="48">
        <f t="shared" si="16"/>
        <v>14173.8113088</v>
      </c>
      <c r="AN17" s="54">
        <f t="shared" si="17"/>
        <v>0.893648061497326</v>
      </c>
      <c r="AO17" s="54">
        <f t="shared" si="18"/>
        <v>0.755201248753342</v>
      </c>
      <c r="AP17" s="49"/>
      <c r="AQ17" s="49">
        <v>13464</v>
      </c>
      <c r="AR17" s="49">
        <v>3543.4528272</v>
      </c>
      <c r="AS17" s="53">
        <f t="shared" si="19"/>
        <v>0.2631798</v>
      </c>
      <c r="AT17" s="125">
        <f t="shared" si="20"/>
        <v>422.41224</v>
      </c>
      <c r="AU17" s="57">
        <v>50</v>
      </c>
      <c r="AV17" s="128">
        <f>VLOOKUP(B17,[4]门店奖励金额汇总!$A:$D,4,0)</f>
        <v>90</v>
      </c>
      <c r="AW17" s="76">
        <f>AV17*4</f>
        <v>360</v>
      </c>
    </row>
    <row r="18" spans="1:49">
      <c r="A18" s="23">
        <v>16</v>
      </c>
      <c r="B18" s="24">
        <v>103198</v>
      </c>
      <c r="C18" s="24" t="s">
        <v>52</v>
      </c>
      <c r="D18" s="24" t="s">
        <v>42</v>
      </c>
      <c r="E18" s="123">
        <f>VLOOKUP(B18,[3]正式员工人数!$A:$C,3,0)</f>
        <v>2</v>
      </c>
      <c r="F18" s="30">
        <v>5</v>
      </c>
      <c r="G18" s="30">
        <v>150</v>
      </c>
      <c r="H18" s="28">
        <f>VLOOKUP(B18,[1]查询时间段分门店销售汇总!$D$3:$L$145,9,0)</f>
        <v>49196.1</v>
      </c>
      <c r="I18" s="28">
        <f>VLOOKUP(B18,[1]查询时间段分门店销售汇总!$D$3:$M$145,10,0)</f>
        <v>9057.03</v>
      </c>
      <c r="J18" s="32">
        <f t="shared" si="0"/>
        <v>48960</v>
      </c>
      <c r="K18" s="32">
        <f t="shared" si="1"/>
        <v>11193.13728</v>
      </c>
      <c r="L18" s="38">
        <v>16320</v>
      </c>
      <c r="M18" s="39">
        <v>3731.04576</v>
      </c>
      <c r="N18" s="40">
        <f t="shared" si="2"/>
        <v>0.228618</v>
      </c>
      <c r="O18" s="41">
        <f t="shared" si="3"/>
        <v>1.00482230392157</v>
      </c>
      <c r="P18" s="40">
        <f t="shared" si="4"/>
        <v>0.809159199376853</v>
      </c>
      <c r="Q18" s="43">
        <f>E18*70</f>
        <v>140</v>
      </c>
      <c r="R18" s="43"/>
      <c r="S18" s="43">
        <f t="shared" si="5"/>
        <v>53856</v>
      </c>
      <c r="T18" s="43">
        <f t="shared" si="6"/>
        <v>11081.2059072</v>
      </c>
      <c r="U18" s="38">
        <v>17952</v>
      </c>
      <c r="V18" s="39">
        <v>3693.7353024</v>
      </c>
      <c r="W18" s="40">
        <f t="shared" si="7"/>
        <v>0.2057562</v>
      </c>
      <c r="X18" s="40">
        <f t="shared" si="8"/>
        <v>0.913474821746881</v>
      </c>
      <c r="Y18" s="40">
        <f t="shared" si="9"/>
        <v>0.817332524623083</v>
      </c>
      <c r="Z18" s="43"/>
      <c r="AA18" s="43"/>
      <c r="AB18" s="47">
        <f>VLOOKUP(B18,[2]查询时间段分门店销售汇总!$D$3:$L$145,9,0)</f>
        <v>44995.08</v>
      </c>
      <c r="AC18" s="47">
        <f>VLOOKUP(B18,[2]查询时间段分门店销售汇总!$D$3:$M$145,10,0)</f>
        <v>8643</v>
      </c>
      <c r="AD18" s="48">
        <f t="shared" si="10"/>
        <v>43084.8</v>
      </c>
      <c r="AE18" s="48">
        <f t="shared" si="11"/>
        <v>11081.2059072</v>
      </c>
      <c r="AF18" s="49">
        <v>10771.2</v>
      </c>
      <c r="AG18" s="49">
        <v>2770.3014768</v>
      </c>
      <c r="AH18" s="53">
        <f t="shared" si="12"/>
        <v>0.25719525</v>
      </c>
      <c r="AI18" s="53">
        <f t="shared" si="13"/>
        <v>1.04433767825312</v>
      </c>
      <c r="AJ18" s="53">
        <f t="shared" si="14"/>
        <v>0.779969262585782</v>
      </c>
      <c r="AK18" s="48"/>
      <c r="AL18" s="48">
        <f t="shared" si="15"/>
        <v>53856</v>
      </c>
      <c r="AM18" s="48">
        <f t="shared" si="16"/>
        <v>12743.38679328</v>
      </c>
      <c r="AN18" s="54">
        <f t="shared" si="17"/>
        <v>0.835470142602496</v>
      </c>
      <c r="AO18" s="54">
        <f t="shared" si="18"/>
        <v>0.678234141378941</v>
      </c>
      <c r="AP18" s="49"/>
      <c r="AQ18" s="49">
        <v>13464</v>
      </c>
      <c r="AR18" s="49">
        <v>3185.84669832</v>
      </c>
      <c r="AS18" s="53">
        <f t="shared" si="19"/>
        <v>0.23661963</v>
      </c>
      <c r="AT18" s="125">
        <f t="shared" si="20"/>
        <v>140</v>
      </c>
      <c r="AU18" s="57">
        <v>50</v>
      </c>
      <c r="AV18" s="128">
        <f>VLOOKUP(B18,[4]门店奖励金额汇总!$A:$D,4,0)</f>
        <v>83</v>
      </c>
      <c r="AW18" s="76">
        <f>AV18*4</f>
        <v>332</v>
      </c>
    </row>
    <row r="19" spans="1:49">
      <c r="A19" s="23">
        <v>17</v>
      </c>
      <c r="B19" s="24">
        <v>105267</v>
      </c>
      <c r="C19" s="24" t="s">
        <v>53</v>
      </c>
      <c r="D19" s="24" t="s">
        <v>42</v>
      </c>
      <c r="E19" s="123">
        <f>VLOOKUP(B19,[3]正式员工人数!$A:$C,3,0)</f>
        <v>3</v>
      </c>
      <c r="F19" s="30">
        <v>6</v>
      </c>
      <c r="G19" s="30">
        <v>150</v>
      </c>
      <c r="H19" s="28">
        <f>VLOOKUP(B19,[1]查询时间段分门店销售汇总!$D$3:$L$145,9,0)</f>
        <v>58377.47</v>
      </c>
      <c r="I19" s="28">
        <f>VLOOKUP(B19,[1]查询时间段分门店销售汇总!$D$3:$M$145,10,0)</f>
        <v>16000.33</v>
      </c>
      <c r="J19" s="32">
        <f t="shared" si="0"/>
        <v>47520</v>
      </c>
      <c r="K19" s="32">
        <f t="shared" si="1"/>
        <v>12683.84832</v>
      </c>
      <c r="L19" s="38">
        <v>15840</v>
      </c>
      <c r="M19" s="39">
        <v>4227.94944</v>
      </c>
      <c r="N19" s="40">
        <f t="shared" si="2"/>
        <v>0.266916</v>
      </c>
      <c r="O19" s="41">
        <f t="shared" si="3"/>
        <v>1.22848211279461</v>
      </c>
      <c r="P19" s="41">
        <f t="shared" si="4"/>
        <v>1.2614728271995</v>
      </c>
      <c r="Q19" s="43"/>
      <c r="R19" s="43"/>
      <c r="S19" s="43">
        <f t="shared" si="5"/>
        <v>52272</v>
      </c>
      <c r="T19" s="43">
        <f t="shared" si="6"/>
        <v>12557.0098368</v>
      </c>
      <c r="U19" s="38">
        <v>17424</v>
      </c>
      <c r="V19" s="39">
        <v>4185.6699456</v>
      </c>
      <c r="W19" s="40">
        <f t="shared" si="7"/>
        <v>0.2402244</v>
      </c>
      <c r="X19" s="41">
        <f t="shared" si="8"/>
        <v>1.11680192072238</v>
      </c>
      <c r="Y19" s="41">
        <f t="shared" si="9"/>
        <v>1.27421497696919</v>
      </c>
      <c r="Z19" s="43">
        <f>150*E19</f>
        <v>450</v>
      </c>
      <c r="AA19" s="43">
        <f>(I19-K19)*0.3</f>
        <v>994.944504</v>
      </c>
      <c r="AB19" s="47">
        <f>VLOOKUP(B19,[2]查询时间段分门店销售汇总!$D$3:$L$145,9,0)</f>
        <v>37934.1</v>
      </c>
      <c r="AC19" s="47">
        <f>VLOOKUP(B19,[2]查询时间段分门店销售汇总!$D$3:$M$145,10,0)</f>
        <v>10593.28</v>
      </c>
      <c r="AD19" s="48">
        <f t="shared" si="10"/>
        <v>41817.6</v>
      </c>
      <c r="AE19" s="48">
        <f t="shared" si="11"/>
        <v>12557.0098368</v>
      </c>
      <c r="AF19" s="49">
        <v>10454.4</v>
      </c>
      <c r="AG19" s="49">
        <v>3139.2524592</v>
      </c>
      <c r="AH19" s="53">
        <f t="shared" si="12"/>
        <v>0.3002805</v>
      </c>
      <c r="AI19" s="53">
        <f t="shared" si="13"/>
        <v>0.907132403581267</v>
      </c>
      <c r="AJ19" s="53">
        <f t="shared" si="14"/>
        <v>0.843614852395431</v>
      </c>
      <c r="AK19" s="48"/>
      <c r="AL19" s="48">
        <f t="shared" si="15"/>
        <v>52272</v>
      </c>
      <c r="AM19" s="48">
        <f t="shared" si="16"/>
        <v>14440.56131232</v>
      </c>
      <c r="AN19" s="54">
        <f t="shared" si="17"/>
        <v>0.725705922865014</v>
      </c>
      <c r="AO19" s="54">
        <f t="shared" si="18"/>
        <v>0.733578132517766</v>
      </c>
      <c r="AP19" s="49"/>
      <c r="AQ19" s="49">
        <v>13068</v>
      </c>
      <c r="AR19" s="49">
        <v>3610.14032808</v>
      </c>
      <c r="AS19" s="53">
        <f t="shared" si="19"/>
        <v>0.27625806</v>
      </c>
      <c r="AT19" s="125">
        <f t="shared" si="20"/>
        <v>1444.944504</v>
      </c>
      <c r="AU19" s="57">
        <v>50</v>
      </c>
      <c r="AV19" s="128">
        <f>VLOOKUP(B19,[4]门店奖励金额汇总!$A:$D,4,0)</f>
        <v>63</v>
      </c>
      <c r="AW19" s="76">
        <f>AV19*4</f>
        <v>252</v>
      </c>
    </row>
    <row r="20" spans="1:49">
      <c r="A20" s="23">
        <v>18</v>
      </c>
      <c r="B20" s="24">
        <v>726</v>
      </c>
      <c r="C20" s="24" t="s">
        <v>54</v>
      </c>
      <c r="D20" s="24" t="s">
        <v>42</v>
      </c>
      <c r="E20" s="123">
        <f>VLOOKUP(B20,[3]正式员工人数!$A:$C,3,0)</f>
        <v>2</v>
      </c>
      <c r="F20" s="30">
        <v>6</v>
      </c>
      <c r="G20" s="30">
        <v>150</v>
      </c>
      <c r="H20" s="28">
        <f>VLOOKUP(B20,[1]查询时间段分门店销售汇总!$D$3:$L$145,9,0)</f>
        <v>52363.17</v>
      </c>
      <c r="I20" s="28">
        <f>VLOOKUP(B20,[1]查询时间段分门店销售汇总!$D$3:$M$145,10,0)</f>
        <v>12033.78</v>
      </c>
      <c r="J20" s="32">
        <f t="shared" si="0"/>
        <v>47520</v>
      </c>
      <c r="K20" s="32">
        <f t="shared" si="1"/>
        <v>10593.34848</v>
      </c>
      <c r="L20" s="38">
        <v>15840</v>
      </c>
      <c r="M20" s="39">
        <v>3531.11616</v>
      </c>
      <c r="N20" s="40">
        <f t="shared" si="2"/>
        <v>0.222924</v>
      </c>
      <c r="O20" s="41">
        <f t="shared" si="3"/>
        <v>1.10191856060606</v>
      </c>
      <c r="P20" s="41">
        <f t="shared" si="4"/>
        <v>1.13597509066368</v>
      </c>
      <c r="Q20" s="43"/>
      <c r="R20" s="43"/>
      <c r="S20" s="43">
        <f t="shared" si="5"/>
        <v>52272</v>
      </c>
      <c r="T20" s="43">
        <f t="shared" si="6"/>
        <v>10487.4149952</v>
      </c>
      <c r="U20" s="38">
        <v>17424</v>
      </c>
      <c r="V20" s="39">
        <v>3495.8049984</v>
      </c>
      <c r="W20" s="40">
        <f t="shared" si="7"/>
        <v>0.2006316</v>
      </c>
      <c r="X20" s="41">
        <f t="shared" si="8"/>
        <v>1.00174414600551</v>
      </c>
      <c r="Y20" s="41">
        <f t="shared" si="9"/>
        <v>1.14744958652897</v>
      </c>
      <c r="Z20" s="43">
        <f>150*E20</f>
        <v>300</v>
      </c>
      <c r="AA20" s="43">
        <f>(I20-K20)*0.3</f>
        <v>432.129456</v>
      </c>
      <c r="AB20" s="47">
        <f>VLOOKUP(B20,[2]查询时间段分门店销售汇总!$D$3:$L$145,9,0)</f>
        <v>34920.56</v>
      </c>
      <c r="AC20" s="47">
        <f>VLOOKUP(B20,[2]查询时间段分门店销售汇总!$D$3:$M$145,10,0)</f>
        <v>9676.48</v>
      </c>
      <c r="AD20" s="48">
        <f t="shared" si="10"/>
        <v>41817.6</v>
      </c>
      <c r="AE20" s="48">
        <f t="shared" si="11"/>
        <v>10487.4149952</v>
      </c>
      <c r="AF20" s="49">
        <v>10454.4</v>
      </c>
      <c r="AG20" s="49">
        <v>2621.8537488</v>
      </c>
      <c r="AH20" s="53">
        <f t="shared" si="12"/>
        <v>0.2507895</v>
      </c>
      <c r="AI20" s="53">
        <f t="shared" si="13"/>
        <v>0.835068487909397</v>
      </c>
      <c r="AJ20" s="53">
        <f t="shared" si="14"/>
        <v>0.922675416623528</v>
      </c>
      <c r="AK20" s="48"/>
      <c r="AL20" s="48">
        <f t="shared" si="15"/>
        <v>52272</v>
      </c>
      <c r="AM20" s="48">
        <f t="shared" si="16"/>
        <v>12060.52724448</v>
      </c>
      <c r="AN20" s="54">
        <f t="shared" si="17"/>
        <v>0.668054790327518</v>
      </c>
      <c r="AO20" s="54">
        <f t="shared" si="18"/>
        <v>0.802326449237851</v>
      </c>
      <c r="AP20" s="49"/>
      <c r="AQ20" s="49">
        <v>13068</v>
      </c>
      <c r="AR20" s="49">
        <v>3015.13181112</v>
      </c>
      <c r="AS20" s="53">
        <f t="shared" si="19"/>
        <v>0.23072634</v>
      </c>
      <c r="AT20" s="125">
        <f t="shared" si="20"/>
        <v>732.129456</v>
      </c>
      <c r="AU20" s="57">
        <v>50</v>
      </c>
      <c r="AV20" s="128">
        <f>VLOOKUP(B20,[4]门店奖励金额汇总!$A:$D,4,0)</f>
        <v>55</v>
      </c>
      <c r="AW20" s="76">
        <f>AV20*4</f>
        <v>220</v>
      </c>
    </row>
    <row r="21" spans="1:48">
      <c r="A21" s="23">
        <v>19</v>
      </c>
      <c r="B21" s="24">
        <v>399</v>
      </c>
      <c r="C21" s="24" t="s">
        <v>55</v>
      </c>
      <c r="D21" s="24" t="s">
        <v>42</v>
      </c>
      <c r="E21" s="123">
        <f>VLOOKUP(B21,[3]正式员工人数!$A:$C,3,0)</f>
        <v>2</v>
      </c>
      <c r="F21" s="30">
        <v>7</v>
      </c>
      <c r="G21" s="30">
        <v>100</v>
      </c>
      <c r="H21" s="28">
        <f>VLOOKUP(B21,[1]查询时间段分门店销售汇总!$D$3:$L$145,9,0)</f>
        <v>51439.43</v>
      </c>
      <c r="I21" s="28">
        <f>VLOOKUP(B21,[1]查询时间段分门店销售汇总!$D$3:$M$145,10,0)</f>
        <v>8845.07</v>
      </c>
      <c r="J21" s="32">
        <f t="shared" si="0"/>
        <v>46500</v>
      </c>
      <c r="K21" s="32">
        <f t="shared" si="1"/>
        <v>9959.742</v>
      </c>
      <c r="L21" s="38">
        <v>15500</v>
      </c>
      <c r="M21" s="39">
        <v>3319.914</v>
      </c>
      <c r="N21" s="40">
        <f t="shared" si="2"/>
        <v>0.214188</v>
      </c>
      <c r="O21" s="41">
        <f t="shared" si="3"/>
        <v>1.10622430107527</v>
      </c>
      <c r="P21" s="40">
        <f t="shared" si="4"/>
        <v>0.888082241487781</v>
      </c>
      <c r="Q21" s="43"/>
      <c r="R21" s="43"/>
      <c r="S21" s="43">
        <f t="shared" si="5"/>
        <v>51150</v>
      </c>
      <c r="T21" s="43">
        <f t="shared" si="6"/>
        <v>9860.14458</v>
      </c>
      <c r="U21" s="38">
        <v>17050</v>
      </c>
      <c r="V21" s="39">
        <v>3286.71486</v>
      </c>
      <c r="W21" s="40">
        <f t="shared" si="7"/>
        <v>0.1927692</v>
      </c>
      <c r="X21" s="41">
        <f t="shared" si="8"/>
        <v>1.00565845552297</v>
      </c>
      <c r="Y21" s="40">
        <f t="shared" si="9"/>
        <v>0.897052769179577</v>
      </c>
      <c r="Z21" s="43">
        <f>150*E21</f>
        <v>300</v>
      </c>
      <c r="AA21" s="43"/>
      <c r="AB21" s="47">
        <f>VLOOKUP(B21,[2]查询时间段分门店销售汇总!$D$3:$L$145,9,0)</f>
        <v>25225.09</v>
      </c>
      <c r="AC21" s="47">
        <f>VLOOKUP(B21,[2]查询时间段分门店销售汇总!$D$3:$M$145,10,0)</f>
        <v>5281.36</v>
      </c>
      <c r="AD21" s="48">
        <f t="shared" si="10"/>
        <v>40920</v>
      </c>
      <c r="AE21" s="48">
        <f t="shared" si="11"/>
        <v>9860.14458</v>
      </c>
      <c r="AF21" s="49">
        <v>10230</v>
      </c>
      <c r="AG21" s="49">
        <v>2465.036145</v>
      </c>
      <c r="AH21" s="53">
        <f t="shared" si="12"/>
        <v>0.2409615</v>
      </c>
      <c r="AI21" s="53">
        <f t="shared" si="13"/>
        <v>0.616448924731183</v>
      </c>
      <c r="AJ21" s="53">
        <f t="shared" si="14"/>
        <v>0.535627034385737</v>
      </c>
      <c r="AK21" s="48"/>
      <c r="AL21" s="48">
        <f t="shared" si="15"/>
        <v>51150</v>
      </c>
      <c r="AM21" s="48">
        <f t="shared" si="16"/>
        <v>11339.166267</v>
      </c>
      <c r="AN21" s="54">
        <f t="shared" si="17"/>
        <v>0.493159139784946</v>
      </c>
      <c r="AO21" s="54">
        <f t="shared" si="18"/>
        <v>0.465762638596293</v>
      </c>
      <c r="AP21" s="49"/>
      <c r="AQ21" s="49">
        <v>12787.5</v>
      </c>
      <c r="AR21" s="49">
        <v>2834.79156675</v>
      </c>
      <c r="AS21" s="53">
        <f t="shared" si="19"/>
        <v>0.22168458</v>
      </c>
      <c r="AT21" s="125">
        <f t="shared" si="20"/>
        <v>300</v>
      </c>
      <c r="AU21" s="57">
        <v>50</v>
      </c>
      <c r="AV21" s="118">
        <f>VLOOKUP(B21,[4]门店奖励金额汇总!$A:$D,4,0)</f>
        <v>29</v>
      </c>
    </row>
    <row r="22" spans="1:49">
      <c r="A22" s="23">
        <v>20</v>
      </c>
      <c r="B22" s="24">
        <v>106569</v>
      </c>
      <c r="C22" s="24" t="s">
        <v>56</v>
      </c>
      <c r="D22" s="24" t="s">
        <v>42</v>
      </c>
      <c r="E22" s="123">
        <f>VLOOKUP(B22,[3]正式员工人数!$A:$C,3,0)</f>
        <v>2</v>
      </c>
      <c r="F22" s="30">
        <v>7</v>
      </c>
      <c r="G22" s="30">
        <v>100</v>
      </c>
      <c r="H22" s="28">
        <f>VLOOKUP(B22,[1]查询时间段分门店销售汇总!$D$3:$L$145,9,0)</f>
        <v>50592.12</v>
      </c>
      <c r="I22" s="28">
        <f>VLOOKUP(B22,[1]查询时间段分门店销售汇总!$D$3:$M$145,10,0)</f>
        <v>9555.51</v>
      </c>
      <c r="J22" s="32">
        <f t="shared" si="0"/>
        <v>43200</v>
      </c>
      <c r="K22" s="32">
        <f t="shared" si="1"/>
        <v>10961.3088</v>
      </c>
      <c r="L22" s="38">
        <v>14400</v>
      </c>
      <c r="M22" s="39">
        <v>3653.7696</v>
      </c>
      <c r="N22" s="40">
        <f t="shared" si="2"/>
        <v>0.253734</v>
      </c>
      <c r="O22" s="41">
        <f t="shared" si="3"/>
        <v>1.17111388888889</v>
      </c>
      <c r="P22" s="40">
        <f t="shared" si="4"/>
        <v>0.87174900136013</v>
      </c>
      <c r="Q22" s="43"/>
      <c r="R22" s="43"/>
      <c r="S22" s="43">
        <f t="shared" si="5"/>
        <v>47520</v>
      </c>
      <c r="T22" s="43">
        <f t="shared" si="6"/>
        <v>10851.695712</v>
      </c>
      <c r="U22" s="38">
        <v>15840</v>
      </c>
      <c r="V22" s="39">
        <v>3617.231904</v>
      </c>
      <c r="W22" s="40">
        <f t="shared" si="7"/>
        <v>0.2283606</v>
      </c>
      <c r="X22" s="41">
        <f t="shared" si="8"/>
        <v>1.06464898989899</v>
      </c>
      <c r="Y22" s="40">
        <f t="shared" si="9"/>
        <v>0.880554546828414</v>
      </c>
      <c r="Z22" s="43">
        <f>150*E22</f>
        <v>300</v>
      </c>
      <c r="AA22" s="43"/>
      <c r="AB22" s="47">
        <f>VLOOKUP(B22,[2]查询时间段分门店销售汇总!$D$3:$L$145,9,0)</f>
        <v>37470.16</v>
      </c>
      <c r="AC22" s="47">
        <f>VLOOKUP(B22,[2]查询时间段分门店销售汇总!$D$3:$M$145,10,0)</f>
        <v>7180.94</v>
      </c>
      <c r="AD22" s="48">
        <f t="shared" si="10"/>
        <v>38016</v>
      </c>
      <c r="AE22" s="48">
        <f t="shared" si="11"/>
        <v>10851.695712</v>
      </c>
      <c r="AF22" s="49">
        <v>9504</v>
      </c>
      <c r="AG22" s="49">
        <v>2712.923928</v>
      </c>
      <c r="AH22" s="53">
        <f t="shared" si="12"/>
        <v>0.28545075</v>
      </c>
      <c r="AI22" s="53">
        <f t="shared" si="13"/>
        <v>0.985641835016835</v>
      </c>
      <c r="AJ22" s="53">
        <f t="shared" si="14"/>
        <v>0.661734367658244</v>
      </c>
      <c r="AK22" s="48"/>
      <c r="AL22" s="48">
        <f t="shared" si="15"/>
        <v>47520</v>
      </c>
      <c r="AM22" s="48">
        <f t="shared" si="16"/>
        <v>12479.4500688</v>
      </c>
      <c r="AN22" s="54">
        <f t="shared" si="17"/>
        <v>0.788513468013468</v>
      </c>
      <c r="AO22" s="54">
        <f t="shared" si="18"/>
        <v>0.575421189268038</v>
      </c>
      <c r="AP22" s="49"/>
      <c r="AQ22" s="49">
        <v>11880</v>
      </c>
      <c r="AR22" s="49">
        <v>3119.8625172</v>
      </c>
      <c r="AS22" s="53">
        <f t="shared" si="19"/>
        <v>0.26261469</v>
      </c>
      <c r="AT22" s="125">
        <f t="shared" si="20"/>
        <v>300</v>
      </c>
      <c r="AU22" s="57">
        <v>50</v>
      </c>
      <c r="AV22" s="128">
        <f>VLOOKUP(B22,[4]门店奖励金额汇总!$A:$D,4,0)</f>
        <v>67</v>
      </c>
      <c r="AW22" s="76">
        <f>AV22*4</f>
        <v>268</v>
      </c>
    </row>
    <row r="23" spans="1:48">
      <c r="A23" s="23">
        <v>21</v>
      </c>
      <c r="B23" s="24">
        <v>108277</v>
      </c>
      <c r="C23" s="24" t="s">
        <v>57</v>
      </c>
      <c r="D23" s="24" t="s">
        <v>42</v>
      </c>
      <c r="E23" s="123">
        <f>VLOOKUP(B23,[3]正式员工人数!$A:$C,3,0)</f>
        <v>2</v>
      </c>
      <c r="F23" s="30">
        <v>8</v>
      </c>
      <c r="G23" s="30">
        <v>100</v>
      </c>
      <c r="H23" s="28">
        <f>VLOOKUP(B23,[1]查询时间段分门店销售汇总!$D$3:$L$145,9,0)</f>
        <v>38901.21</v>
      </c>
      <c r="I23" s="28">
        <f>VLOOKUP(B23,[1]查询时间段分门店销售汇总!$D$3:$M$145,10,0)</f>
        <v>7040.68</v>
      </c>
      <c r="J23" s="32">
        <f t="shared" si="0"/>
        <v>41760</v>
      </c>
      <c r="K23" s="32">
        <f t="shared" si="1"/>
        <v>8341.89408</v>
      </c>
      <c r="L23" s="38">
        <v>13920</v>
      </c>
      <c r="M23" s="39">
        <v>2780.63136</v>
      </c>
      <c r="N23" s="40">
        <f t="shared" si="2"/>
        <v>0.199758</v>
      </c>
      <c r="O23" s="40">
        <f t="shared" si="3"/>
        <v>0.931542385057471</v>
      </c>
      <c r="P23" s="40">
        <f t="shared" si="4"/>
        <v>0.844014552627837</v>
      </c>
      <c r="Q23" s="43"/>
      <c r="R23" s="43"/>
      <c r="S23" s="43">
        <f t="shared" si="5"/>
        <v>45936</v>
      </c>
      <c r="T23" s="43">
        <f t="shared" si="6"/>
        <v>8258.4751392</v>
      </c>
      <c r="U23" s="38">
        <v>15312</v>
      </c>
      <c r="V23" s="39">
        <v>2752.8250464</v>
      </c>
      <c r="W23" s="40">
        <f t="shared" si="7"/>
        <v>0.1797822</v>
      </c>
      <c r="X23" s="40">
        <f t="shared" si="8"/>
        <v>0.84685671368861</v>
      </c>
      <c r="Y23" s="40">
        <f t="shared" si="9"/>
        <v>0.85253995214933</v>
      </c>
      <c r="Z23" s="43"/>
      <c r="AA23" s="43"/>
      <c r="AB23" s="47">
        <f>VLOOKUP(B23,[2]查询时间段分门店销售汇总!$D$3:$L$145,9,0)</f>
        <v>23699.2</v>
      </c>
      <c r="AC23" s="47">
        <f>VLOOKUP(B23,[2]查询时间段分门店销售汇总!$D$3:$M$145,10,0)</f>
        <v>5704.22</v>
      </c>
      <c r="AD23" s="48">
        <f t="shared" si="10"/>
        <v>36748.8</v>
      </c>
      <c r="AE23" s="48">
        <f t="shared" si="11"/>
        <v>8258.4751392</v>
      </c>
      <c r="AF23" s="49">
        <v>9187.2</v>
      </c>
      <c r="AG23" s="49">
        <v>2064.6187848</v>
      </c>
      <c r="AH23" s="53">
        <f t="shared" si="12"/>
        <v>0.22472775</v>
      </c>
      <c r="AI23" s="53">
        <f t="shared" si="13"/>
        <v>0.644897248345524</v>
      </c>
      <c r="AJ23" s="53">
        <f t="shared" si="14"/>
        <v>0.690711045786664</v>
      </c>
      <c r="AK23" s="48"/>
      <c r="AL23" s="48">
        <f t="shared" si="15"/>
        <v>45936</v>
      </c>
      <c r="AM23" s="48">
        <f t="shared" si="16"/>
        <v>9497.24641008</v>
      </c>
      <c r="AN23" s="54">
        <f t="shared" si="17"/>
        <v>0.515917798676419</v>
      </c>
      <c r="AO23" s="54">
        <f t="shared" si="18"/>
        <v>0.600618300684056</v>
      </c>
      <c r="AP23" s="49"/>
      <c r="AQ23" s="49">
        <v>11484</v>
      </c>
      <c r="AR23" s="49">
        <v>2374.31160252</v>
      </c>
      <c r="AS23" s="53">
        <f t="shared" si="19"/>
        <v>0.20674953</v>
      </c>
      <c r="AT23" s="125">
        <f t="shared" si="20"/>
        <v>0</v>
      </c>
      <c r="AU23" s="57">
        <v>50</v>
      </c>
      <c r="AV23" s="118">
        <f>VLOOKUP(B23,[4]门店奖励金额汇总!$A:$D,4,0)</f>
        <v>40</v>
      </c>
    </row>
    <row r="24" spans="1:48">
      <c r="A24" s="23">
        <v>22</v>
      </c>
      <c r="B24" s="24">
        <v>102565</v>
      </c>
      <c r="C24" s="24" t="s">
        <v>58</v>
      </c>
      <c r="D24" s="24" t="s">
        <v>42</v>
      </c>
      <c r="E24" s="123">
        <f>VLOOKUP(B24,[3]正式员工人数!$A:$C,3,0)</f>
        <v>2</v>
      </c>
      <c r="F24" s="30">
        <v>8</v>
      </c>
      <c r="G24" s="30">
        <v>100</v>
      </c>
      <c r="H24" s="28">
        <f>VLOOKUP(B24,[1]查询时间段分门店销售汇总!$D$3:$L$145,9,0)</f>
        <v>13953.59</v>
      </c>
      <c r="I24" s="28">
        <f>VLOOKUP(B24,[1]查询时间段分门店销售汇总!$D$3:$M$145,10,0)</f>
        <v>3345.05</v>
      </c>
      <c r="J24" s="32">
        <f t="shared" si="0"/>
        <v>41760</v>
      </c>
      <c r="K24" s="32">
        <f t="shared" si="1"/>
        <v>11537.28576</v>
      </c>
      <c r="L24" s="38">
        <v>13920</v>
      </c>
      <c r="M24" s="39">
        <v>3845.76192</v>
      </c>
      <c r="N24" s="40">
        <f t="shared" si="2"/>
        <v>0.276276</v>
      </c>
      <c r="O24" s="40">
        <f t="shared" si="3"/>
        <v>0.334137691570881</v>
      </c>
      <c r="P24" s="40">
        <f t="shared" si="4"/>
        <v>0.289933877827431</v>
      </c>
      <c r="Q24" s="43"/>
      <c r="R24" s="43"/>
      <c r="S24" s="43">
        <f t="shared" si="5"/>
        <v>45936</v>
      </c>
      <c r="T24" s="43">
        <f t="shared" si="6"/>
        <v>11421.9129024</v>
      </c>
      <c r="U24" s="38">
        <v>15312</v>
      </c>
      <c r="V24" s="39">
        <v>3807.3043008</v>
      </c>
      <c r="W24" s="40">
        <f t="shared" si="7"/>
        <v>0.2486484</v>
      </c>
      <c r="X24" s="40">
        <f t="shared" si="8"/>
        <v>0.30376153779171</v>
      </c>
      <c r="Y24" s="40">
        <f t="shared" si="9"/>
        <v>0.292862502855991</v>
      </c>
      <c r="Z24" s="43"/>
      <c r="AA24" s="43"/>
      <c r="AB24" s="47">
        <f>VLOOKUP(B24,[2]查询时间段分门店销售汇总!$D$3:$L$145,9,0)</f>
        <v>22428.74</v>
      </c>
      <c r="AC24" s="47">
        <f>VLOOKUP(B24,[2]查询时间段分门店销售汇总!$D$3:$M$145,10,0)</f>
        <v>5724.45</v>
      </c>
      <c r="AD24" s="48">
        <f t="shared" si="10"/>
        <v>36748.8</v>
      </c>
      <c r="AE24" s="48">
        <f t="shared" si="11"/>
        <v>11421.9129024</v>
      </c>
      <c r="AF24" s="49">
        <v>9187.2</v>
      </c>
      <c r="AG24" s="49">
        <v>2855.4782256</v>
      </c>
      <c r="AH24" s="53">
        <f t="shared" si="12"/>
        <v>0.3108105</v>
      </c>
      <c r="AI24" s="53">
        <f t="shared" si="13"/>
        <v>0.610325779345176</v>
      </c>
      <c r="AJ24" s="53">
        <f t="shared" si="14"/>
        <v>0.50118137381324</v>
      </c>
      <c r="AK24" s="48"/>
      <c r="AL24" s="48">
        <f t="shared" si="15"/>
        <v>45936</v>
      </c>
      <c r="AM24" s="48">
        <f t="shared" si="16"/>
        <v>13135.19983776</v>
      </c>
      <c r="AN24" s="54">
        <f t="shared" si="17"/>
        <v>0.488260623476141</v>
      </c>
      <c r="AO24" s="54">
        <f t="shared" si="18"/>
        <v>0.435809890272382</v>
      </c>
      <c r="AP24" s="49"/>
      <c r="AQ24" s="49">
        <v>11484</v>
      </c>
      <c r="AR24" s="49">
        <v>3283.79995944</v>
      </c>
      <c r="AS24" s="53">
        <f t="shared" si="19"/>
        <v>0.28594566</v>
      </c>
      <c r="AT24" s="125">
        <f t="shared" si="20"/>
        <v>0</v>
      </c>
      <c r="AU24" s="57">
        <v>40</v>
      </c>
      <c r="AV24" s="118">
        <f>VLOOKUP(B24,[4]门店奖励金额汇总!$A:$D,4,0)</f>
        <v>13</v>
      </c>
    </row>
    <row r="25" spans="1:48">
      <c r="A25" s="23">
        <v>23</v>
      </c>
      <c r="B25" s="24">
        <v>105910</v>
      </c>
      <c r="C25" s="24" t="s">
        <v>59</v>
      </c>
      <c r="D25" s="24" t="s">
        <v>42</v>
      </c>
      <c r="E25" s="123">
        <f>VLOOKUP(B25,[3]正式员工人数!$A:$C,3,0)</f>
        <v>2</v>
      </c>
      <c r="F25" s="30">
        <v>9</v>
      </c>
      <c r="G25" s="30">
        <v>100</v>
      </c>
      <c r="H25" s="28">
        <f>VLOOKUP(B25,[1]查询时间段分门店销售汇总!$D$3:$L$145,9,0)</f>
        <v>31198.63</v>
      </c>
      <c r="I25" s="28">
        <f>VLOOKUP(B25,[1]查询时间段分门店销售汇总!$D$3:$M$145,10,0)</f>
        <v>7566.83</v>
      </c>
      <c r="J25" s="32">
        <f t="shared" si="0"/>
        <v>39600</v>
      </c>
      <c r="K25" s="32">
        <f t="shared" si="1"/>
        <v>10180.6848</v>
      </c>
      <c r="L25" s="38">
        <v>13200</v>
      </c>
      <c r="M25" s="39">
        <v>3393.5616</v>
      </c>
      <c r="N25" s="40">
        <f t="shared" si="2"/>
        <v>0.257088</v>
      </c>
      <c r="O25" s="40">
        <f t="shared" si="3"/>
        <v>0.787844191919192</v>
      </c>
      <c r="P25" s="40">
        <f t="shared" si="4"/>
        <v>0.74325353830815</v>
      </c>
      <c r="Q25" s="43"/>
      <c r="R25" s="43"/>
      <c r="S25" s="43">
        <f t="shared" si="5"/>
        <v>43560</v>
      </c>
      <c r="T25" s="43">
        <f t="shared" si="6"/>
        <v>10078.877952</v>
      </c>
      <c r="U25" s="38">
        <v>14520</v>
      </c>
      <c r="V25" s="39">
        <v>3359.625984</v>
      </c>
      <c r="W25" s="40">
        <f t="shared" si="7"/>
        <v>0.2313792</v>
      </c>
      <c r="X25" s="40">
        <f t="shared" si="8"/>
        <v>0.716221992653811</v>
      </c>
      <c r="Y25" s="40">
        <f t="shared" si="9"/>
        <v>0.750761149806212</v>
      </c>
      <c r="Z25" s="43"/>
      <c r="AA25" s="43"/>
      <c r="AB25" s="47">
        <f>VLOOKUP(B25,[2]查询时间段分门店销售汇总!$D$3:$L$145,9,0)</f>
        <v>29282.44</v>
      </c>
      <c r="AC25" s="47">
        <f>VLOOKUP(B25,[2]查询时间段分门店销售汇总!$D$3:$M$145,10,0)</f>
        <v>7991.44</v>
      </c>
      <c r="AD25" s="48">
        <f t="shared" si="10"/>
        <v>34848</v>
      </c>
      <c r="AE25" s="48">
        <f t="shared" si="11"/>
        <v>10078.877952</v>
      </c>
      <c r="AF25" s="49">
        <v>8712</v>
      </c>
      <c r="AG25" s="49">
        <v>2519.719488</v>
      </c>
      <c r="AH25" s="53">
        <f t="shared" si="12"/>
        <v>0.289224</v>
      </c>
      <c r="AI25" s="53">
        <f t="shared" si="13"/>
        <v>0.840290404040404</v>
      </c>
      <c r="AJ25" s="53">
        <f t="shared" si="14"/>
        <v>0.792889847268586</v>
      </c>
      <c r="AK25" s="48"/>
      <c r="AL25" s="48">
        <f t="shared" si="15"/>
        <v>43560</v>
      </c>
      <c r="AM25" s="48">
        <f t="shared" si="16"/>
        <v>11590.7096448</v>
      </c>
      <c r="AN25" s="54">
        <f t="shared" si="17"/>
        <v>0.672232323232323</v>
      </c>
      <c r="AO25" s="54">
        <f t="shared" si="18"/>
        <v>0.689469432407466</v>
      </c>
      <c r="AP25" s="49"/>
      <c r="AQ25" s="49">
        <v>10890</v>
      </c>
      <c r="AR25" s="49">
        <v>2897.6774112</v>
      </c>
      <c r="AS25" s="53">
        <f t="shared" si="19"/>
        <v>0.26608608</v>
      </c>
      <c r="AT25" s="125">
        <f t="shared" si="20"/>
        <v>0</v>
      </c>
      <c r="AU25" s="57">
        <v>50</v>
      </c>
      <c r="AV25" s="118">
        <f>VLOOKUP(B25,[4]门店奖励金额汇总!$A:$D,4,0)</f>
        <v>15</v>
      </c>
    </row>
    <row r="26" spans="1:49">
      <c r="A26" s="23">
        <v>24</v>
      </c>
      <c r="B26" s="24">
        <v>311</v>
      </c>
      <c r="C26" s="24" t="s">
        <v>60</v>
      </c>
      <c r="D26" s="24" t="s">
        <v>42</v>
      </c>
      <c r="E26" s="123">
        <f>VLOOKUP(B26,[3]正式员工人数!$A:$C,3,0)</f>
        <v>2</v>
      </c>
      <c r="F26" s="30">
        <v>9</v>
      </c>
      <c r="G26" s="30">
        <v>100</v>
      </c>
      <c r="H26" s="28">
        <f>VLOOKUP(B26,[1]查询时间段分门店销售汇总!$D$3:$L$145,9,0)</f>
        <v>25553.11</v>
      </c>
      <c r="I26" s="28">
        <f>VLOOKUP(B26,[1]查询时间段分门店销售汇总!$D$3:$M$145,10,0)</f>
        <v>5216.63</v>
      </c>
      <c r="J26" s="32">
        <f t="shared" si="0"/>
        <v>42900</v>
      </c>
      <c r="K26" s="32">
        <f t="shared" si="1"/>
        <v>8386.95</v>
      </c>
      <c r="L26" s="38">
        <v>14300</v>
      </c>
      <c r="M26" s="39">
        <v>2795.65</v>
      </c>
      <c r="N26" s="40">
        <f t="shared" si="2"/>
        <v>0.1955</v>
      </c>
      <c r="O26" s="40">
        <f t="shared" si="3"/>
        <v>0.59564358974359</v>
      </c>
      <c r="P26" s="40">
        <f t="shared" si="4"/>
        <v>0.621993692581928</v>
      </c>
      <c r="Q26" s="43"/>
      <c r="R26" s="43"/>
      <c r="S26" s="43">
        <f t="shared" si="5"/>
        <v>47190</v>
      </c>
      <c r="T26" s="43">
        <f t="shared" si="6"/>
        <v>8303.0805</v>
      </c>
      <c r="U26" s="38">
        <v>15730</v>
      </c>
      <c r="V26" s="39">
        <v>2767.6935</v>
      </c>
      <c r="W26" s="40">
        <f t="shared" si="7"/>
        <v>0.17595</v>
      </c>
      <c r="X26" s="40">
        <f t="shared" si="8"/>
        <v>0.541494172494173</v>
      </c>
      <c r="Y26" s="40">
        <f t="shared" si="9"/>
        <v>0.628276457153462</v>
      </c>
      <c r="Z26" s="43"/>
      <c r="AA26" s="43"/>
      <c r="AB26" s="47">
        <f>VLOOKUP(B26,[2]查询时间段分门店销售汇总!$D$3:$L$145,9,0)</f>
        <v>24918.01</v>
      </c>
      <c r="AC26" s="47">
        <f>VLOOKUP(B26,[2]查询时间段分门店销售汇总!$D$3:$M$145,10,0)</f>
        <v>4320.7</v>
      </c>
      <c r="AD26" s="48">
        <f t="shared" si="10"/>
        <v>37752</v>
      </c>
      <c r="AE26" s="48">
        <f t="shared" si="11"/>
        <v>8303.0805</v>
      </c>
      <c r="AF26" s="49">
        <v>9438</v>
      </c>
      <c r="AG26" s="49">
        <v>2075.770125</v>
      </c>
      <c r="AH26" s="53">
        <f t="shared" si="12"/>
        <v>0.2199375</v>
      </c>
      <c r="AI26" s="53">
        <f t="shared" si="13"/>
        <v>0.66004476584022</v>
      </c>
      <c r="AJ26" s="53">
        <f t="shared" si="14"/>
        <v>0.520373131393824</v>
      </c>
      <c r="AK26" s="48"/>
      <c r="AL26" s="48">
        <f t="shared" si="15"/>
        <v>47190</v>
      </c>
      <c r="AM26" s="48">
        <f t="shared" si="16"/>
        <v>9548.542575</v>
      </c>
      <c r="AN26" s="54">
        <f t="shared" si="17"/>
        <v>0.528035812672176</v>
      </c>
      <c r="AO26" s="54">
        <f t="shared" si="18"/>
        <v>0.452498375125065</v>
      </c>
      <c r="AP26" s="49"/>
      <c r="AQ26" s="49">
        <v>11797.5</v>
      </c>
      <c r="AR26" s="49">
        <v>2387.13564375</v>
      </c>
      <c r="AS26" s="53">
        <f t="shared" si="19"/>
        <v>0.2023425</v>
      </c>
      <c r="AT26" s="125">
        <f t="shared" si="20"/>
        <v>0</v>
      </c>
      <c r="AU26" s="57">
        <v>40</v>
      </c>
      <c r="AV26" s="128">
        <f>VLOOKUP(B26,[4]门店奖励金额汇总!$A:$D,4,0)</f>
        <v>60</v>
      </c>
      <c r="AW26" s="76">
        <f>AV26*4</f>
        <v>240</v>
      </c>
    </row>
    <row r="27" spans="1:48">
      <c r="A27" s="23">
        <v>25</v>
      </c>
      <c r="B27" s="24">
        <v>745</v>
      </c>
      <c r="C27" s="24" t="s">
        <v>61</v>
      </c>
      <c r="D27" s="24" t="s">
        <v>42</v>
      </c>
      <c r="E27" s="123">
        <f>VLOOKUP(B27,[3]正式员工人数!$A:$C,3,0)</f>
        <v>2</v>
      </c>
      <c r="F27" s="30">
        <v>9</v>
      </c>
      <c r="G27" s="30">
        <v>100</v>
      </c>
      <c r="H27" s="28">
        <f>VLOOKUP(B27,[1]查询时间段分门店销售汇总!$D$3:$L$145,9,0)</f>
        <v>41667.37</v>
      </c>
      <c r="I27" s="28">
        <f>VLOOKUP(B27,[1]查询时间段分门店销售汇总!$D$3:$M$145,10,0)</f>
        <v>10715.89</v>
      </c>
      <c r="J27" s="32">
        <f t="shared" si="0"/>
        <v>37440</v>
      </c>
      <c r="K27" s="32">
        <f t="shared" si="1"/>
        <v>7499.38176</v>
      </c>
      <c r="L27" s="38">
        <v>12480</v>
      </c>
      <c r="M27" s="39">
        <v>2499.79392</v>
      </c>
      <c r="N27" s="40">
        <f t="shared" si="2"/>
        <v>0.200304</v>
      </c>
      <c r="O27" s="41">
        <f t="shared" si="3"/>
        <v>1.11291052350427</v>
      </c>
      <c r="P27" s="41">
        <f t="shared" si="4"/>
        <v>1.42890312067538</v>
      </c>
      <c r="Q27" s="43"/>
      <c r="R27" s="43"/>
      <c r="S27" s="43">
        <f t="shared" si="5"/>
        <v>41184</v>
      </c>
      <c r="T27" s="43">
        <f t="shared" si="6"/>
        <v>7424.3879424</v>
      </c>
      <c r="U27" s="38">
        <v>13728</v>
      </c>
      <c r="V27" s="39">
        <v>2474.7959808</v>
      </c>
      <c r="W27" s="40">
        <f t="shared" si="7"/>
        <v>0.1802736</v>
      </c>
      <c r="X27" s="41">
        <f t="shared" si="8"/>
        <v>1.01173683954934</v>
      </c>
      <c r="Y27" s="41">
        <f t="shared" si="9"/>
        <v>1.44333648553068</v>
      </c>
      <c r="Z27" s="43">
        <f>150*E27</f>
        <v>300</v>
      </c>
      <c r="AA27" s="43">
        <f>(I27-K27)*0.3</f>
        <v>964.952472</v>
      </c>
      <c r="AB27" s="47">
        <f>VLOOKUP(B27,[2]查询时间段分门店销售汇总!$D$3:$L$145,9,0)</f>
        <v>28356.43</v>
      </c>
      <c r="AC27" s="47">
        <f>VLOOKUP(B27,[2]查询时间段分门店销售汇总!$D$3:$M$145,10,0)</f>
        <v>6026.6</v>
      </c>
      <c r="AD27" s="48">
        <f t="shared" si="10"/>
        <v>32947.2</v>
      </c>
      <c r="AE27" s="48">
        <f t="shared" si="11"/>
        <v>7424.3879424</v>
      </c>
      <c r="AF27" s="49">
        <v>8236.8</v>
      </c>
      <c r="AG27" s="49">
        <v>1856.0969856</v>
      </c>
      <c r="AH27" s="53">
        <f t="shared" si="12"/>
        <v>0.225342</v>
      </c>
      <c r="AI27" s="53">
        <f t="shared" si="13"/>
        <v>0.860662818084693</v>
      </c>
      <c r="AJ27" s="53">
        <f t="shared" si="14"/>
        <v>0.811730212208152</v>
      </c>
      <c r="AK27" s="48"/>
      <c r="AL27" s="48">
        <f t="shared" si="15"/>
        <v>41184</v>
      </c>
      <c r="AM27" s="48">
        <f t="shared" si="16"/>
        <v>8538.04613376</v>
      </c>
      <c r="AN27" s="54">
        <f t="shared" si="17"/>
        <v>0.688530254467755</v>
      </c>
      <c r="AO27" s="54">
        <f t="shared" si="18"/>
        <v>0.705852358441872</v>
      </c>
      <c r="AP27" s="49"/>
      <c r="AQ27" s="49">
        <v>10296</v>
      </c>
      <c r="AR27" s="49">
        <v>2134.51153344</v>
      </c>
      <c r="AS27" s="53">
        <f t="shared" si="19"/>
        <v>0.20731464</v>
      </c>
      <c r="AT27" s="125">
        <f t="shared" si="20"/>
        <v>1264.952472</v>
      </c>
      <c r="AU27" s="57">
        <v>40</v>
      </c>
      <c r="AV27" s="118">
        <f>VLOOKUP(B27,[4]门店奖励金额汇总!$A:$D,4,0)</f>
        <v>3</v>
      </c>
    </row>
    <row r="28" spans="1:48">
      <c r="A28" s="23">
        <v>26</v>
      </c>
      <c r="B28" s="24">
        <v>117310</v>
      </c>
      <c r="C28" s="24" t="s">
        <v>62</v>
      </c>
      <c r="D28" s="24" t="s">
        <v>42</v>
      </c>
      <c r="E28" s="123">
        <f>VLOOKUP(B28,[3]正式员工人数!$A:$C,3,0)</f>
        <v>2</v>
      </c>
      <c r="F28" s="30">
        <v>10</v>
      </c>
      <c r="G28" s="30">
        <v>100</v>
      </c>
      <c r="H28" s="28">
        <f>VLOOKUP(B28,[1]查询时间段分门店销售汇总!$D$3:$L$145,9,0)</f>
        <v>39986.72</v>
      </c>
      <c r="I28" s="28">
        <f>VLOOKUP(B28,[1]查询时间段分门店销售汇总!$D$3:$M$145,10,0)</f>
        <v>6652.05</v>
      </c>
      <c r="J28" s="32">
        <f t="shared" si="0"/>
        <v>30240</v>
      </c>
      <c r="K28" s="32">
        <f t="shared" si="1"/>
        <v>7153.99776</v>
      </c>
      <c r="L28" s="38">
        <v>10080</v>
      </c>
      <c r="M28" s="39">
        <v>2384.66592</v>
      </c>
      <c r="N28" s="40">
        <f t="shared" si="2"/>
        <v>0.236574</v>
      </c>
      <c r="O28" s="41">
        <f t="shared" si="3"/>
        <v>1.32231216931217</v>
      </c>
      <c r="P28" s="40">
        <f t="shared" si="4"/>
        <v>0.929836746272618</v>
      </c>
      <c r="Q28" s="43"/>
      <c r="R28" s="43"/>
      <c r="S28" s="43">
        <f t="shared" si="5"/>
        <v>33264</v>
      </c>
      <c r="T28" s="43">
        <f t="shared" si="6"/>
        <v>7082.4577824</v>
      </c>
      <c r="U28" s="38">
        <v>11088</v>
      </c>
      <c r="V28" s="39">
        <v>2360.8192608</v>
      </c>
      <c r="W28" s="40">
        <f t="shared" si="7"/>
        <v>0.2129166</v>
      </c>
      <c r="X28" s="41">
        <f t="shared" si="8"/>
        <v>1.20210197210197</v>
      </c>
      <c r="Y28" s="40">
        <f t="shared" si="9"/>
        <v>0.939229036639008</v>
      </c>
      <c r="Z28" s="43">
        <f>150*E28</f>
        <v>300</v>
      </c>
      <c r="AA28" s="43"/>
      <c r="AB28" s="47">
        <f>VLOOKUP(B28,[2]查询时间段分门店销售汇总!$D$3:$L$145,9,0)</f>
        <v>26493.3</v>
      </c>
      <c r="AC28" s="47">
        <f>VLOOKUP(B28,[2]查询时间段分门店销售汇总!$D$3:$M$145,10,0)</f>
        <v>6482.42</v>
      </c>
      <c r="AD28" s="48">
        <f t="shared" si="10"/>
        <v>26611.2</v>
      </c>
      <c r="AE28" s="48">
        <f t="shared" si="11"/>
        <v>7082.4577824</v>
      </c>
      <c r="AF28" s="49">
        <v>6652.8</v>
      </c>
      <c r="AG28" s="49">
        <v>1770.6144456</v>
      </c>
      <c r="AH28" s="53">
        <f t="shared" si="12"/>
        <v>0.26614575</v>
      </c>
      <c r="AI28" s="53">
        <f t="shared" si="13"/>
        <v>0.995569534632035</v>
      </c>
      <c r="AJ28" s="53">
        <f t="shared" si="14"/>
        <v>0.915278311451273</v>
      </c>
      <c r="AK28" s="48"/>
      <c r="AL28" s="48">
        <f t="shared" si="15"/>
        <v>33264</v>
      </c>
      <c r="AM28" s="48">
        <f t="shared" si="16"/>
        <v>8144.82644976</v>
      </c>
      <c r="AN28" s="54">
        <f t="shared" si="17"/>
        <v>0.796455627705628</v>
      </c>
      <c r="AO28" s="54">
        <f t="shared" si="18"/>
        <v>0.795894183870672</v>
      </c>
      <c r="AP28" s="49"/>
      <c r="AQ28" s="49">
        <v>8316</v>
      </c>
      <c r="AR28" s="49">
        <v>2036.20661244</v>
      </c>
      <c r="AS28" s="53">
        <f t="shared" si="19"/>
        <v>0.24485409</v>
      </c>
      <c r="AT28" s="125">
        <f t="shared" si="20"/>
        <v>300</v>
      </c>
      <c r="AU28" s="57">
        <v>40</v>
      </c>
      <c r="AV28" s="118">
        <f>VLOOKUP(B28,[4]门店奖励金额汇总!$A:$D,4,0)</f>
        <v>15</v>
      </c>
    </row>
    <row r="29" spans="1:48">
      <c r="A29" s="23">
        <v>27</v>
      </c>
      <c r="B29" s="24">
        <v>118151</v>
      </c>
      <c r="C29" s="24" t="s">
        <v>63</v>
      </c>
      <c r="D29" s="24" t="s">
        <v>42</v>
      </c>
      <c r="E29" s="123">
        <f>VLOOKUP(B29,[3]正式员工人数!$A:$C,3,0)</f>
        <v>2</v>
      </c>
      <c r="F29" s="30">
        <v>10</v>
      </c>
      <c r="G29" s="30">
        <v>100</v>
      </c>
      <c r="H29" s="28">
        <f>VLOOKUP(B29,[1]查询时间段分门店销售汇总!$D$3:$L$145,9,0)</f>
        <v>25888.83</v>
      </c>
      <c r="I29" s="28">
        <f>VLOOKUP(B29,[1]查询时间段分门店销售汇总!$D$3:$M$145,10,0)</f>
        <v>5565.12</v>
      </c>
      <c r="J29" s="32">
        <f t="shared" si="0"/>
        <v>28800</v>
      </c>
      <c r="K29" s="32">
        <f t="shared" si="1"/>
        <v>5166.72</v>
      </c>
      <c r="L29" s="38">
        <v>9600</v>
      </c>
      <c r="M29" s="39">
        <v>1722.24</v>
      </c>
      <c r="N29" s="40">
        <f t="shared" si="2"/>
        <v>0.1794</v>
      </c>
      <c r="O29" s="40">
        <f t="shared" si="3"/>
        <v>0.898917708333333</v>
      </c>
      <c r="P29" s="41">
        <f t="shared" si="4"/>
        <v>1.07710888145671</v>
      </c>
      <c r="Q29" s="43"/>
      <c r="R29" s="43"/>
      <c r="S29" s="43">
        <f t="shared" si="5"/>
        <v>31680</v>
      </c>
      <c r="T29" s="43">
        <f t="shared" si="6"/>
        <v>5115.0528</v>
      </c>
      <c r="U29" s="38">
        <v>10560</v>
      </c>
      <c r="V29" s="39">
        <v>1705.0176</v>
      </c>
      <c r="W29" s="40">
        <f t="shared" si="7"/>
        <v>0.16146</v>
      </c>
      <c r="X29" s="40">
        <f t="shared" si="8"/>
        <v>0.817197916666667</v>
      </c>
      <c r="Y29" s="41">
        <f t="shared" si="9"/>
        <v>1.08798876914819</v>
      </c>
      <c r="Z29" s="43"/>
      <c r="AA29" s="43"/>
      <c r="AB29" s="47">
        <f>VLOOKUP(B29,[2]查询时间段分门店销售汇总!$D$3:$L$145,9,0)</f>
        <v>18013.25</v>
      </c>
      <c r="AC29" s="47">
        <f>VLOOKUP(B29,[2]查询时间段分门店销售汇总!$D$3:$M$145,10,0)</f>
        <v>4290.67</v>
      </c>
      <c r="AD29" s="48">
        <f t="shared" si="10"/>
        <v>25344</v>
      </c>
      <c r="AE29" s="48">
        <f t="shared" si="11"/>
        <v>5115.0528</v>
      </c>
      <c r="AF29" s="49">
        <v>6336</v>
      </c>
      <c r="AG29" s="49">
        <v>1278.7632</v>
      </c>
      <c r="AH29" s="53">
        <f t="shared" si="12"/>
        <v>0.201825</v>
      </c>
      <c r="AI29" s="53">
        <f t="shared" si="13"/>
        <v>0.710750078914141</v>
      </c>
      <c r="AJ29" s="53">
        <f t="shared" si="14"/>
        <v>0.838832005800605</v>
      </c>
      <c r="AK29" s="48"/>
      <c r="AL29" s="48">
        <f t="shared" si="15"/>
        <v>31680</v>
      </c>
      <c r="AM29" s="48">
        <f t="shared" si="16"/>
        <v>5882.31072</v>
      </c>
      <c r="AN29" s="54">
        <f t="shared" si="17"/>
        <v>0.568600063131313</v>
      </c>
      <c r="AO29" s="54">
        <f t="shared" si="18"/>
        <v>0.729419135478787</v>
      </c>
      <c r="AP29" s="49"/>
      <c r="AQ29" s="49">
        <v>7920</v>
      </c>
      <c r="AR29" s="49">
        <v>1470.57768</v>
      </c>
      <c r="AS29" s="53">
        <f t="shared" si="19"/>
        <v>0.185679</v>
      </c>
      <c r="AT29" s="125">
        <f t="shared" si="20"/>
        <v>0</v>
      </c>
      <c r="AU29" s="57">
        <v>40</v>
      </c>
      <c r="AV29" s="118">
        <f>VLOOKUP(B29,[4]门店奖励金额汇总!$A:$D,4,0)</f>
        <v>3</v>
      </c>
    </row>
    <row r="30" spans="1:48">
      <c r="A30" s="23">
        <v>28</v>
      </c>
      <c r="B30" s="24">
        <v>112415</v>
      </c>
      <c r="C30" s="24" t="s">
        <v>64</v>
      </c>
      <c r="D30" s="24" t="s">
        <v>42</v>
      </c>
      <c r="E30" s="123">
        <f>VLOOKUP(B30,[3]正式员工人数!$A:$C,3,0)</f>
        <v>2</v>
      </c>
      <c r="F30" s="30">
        <v>11</v>
      </c>
      <c r="G30" s="30">
        <v>100</v>
      </c>
      <c r="H30" s="28">
        <f>VLOOKUP(B30,[1]查询时间段分门店销售汇总!$D$3:$L$145,9,0)</f>
        <v>26252.3</v>
      </c>
      <c r="I30" s="28">
        <f>VLOOKUP(B30,[1]查询时间段分门店销售汇总!$D$3:$M$145,10,0)</f>
        <v>4563.93</v>
      </c>
      <c r="J30" s="32">
        <f t="shared" si="0"/>
        <v>27360</v>
      </c>
      <c r="K30" s="32">
        <f t="shared" si="1"/>
        <v>5286.11616</v>
      </c>
      <c r="L30" s="38">
        <v>9120</v>
      </c>
      <c r="M30" s="39">
        <v>1762.03872</v>
      </c>
      <c r="N30" s="40">
        <f t="shared" si="2"/>
        <v>0.193206</v>
      </c>
      <c r="O30" s="40">
        <f t="shared" si="3"/>
        <v>0.959513888888889</v>
      </c>
      <c r="P30" s="40">
        <f t="shared" si="4"/>
        <v>0.863380573157893</v>
      </c>
      <c r="Q30" s="43"/>
      <c r="R30" s="43"/>
      <c r="S30" s="43">
        <f t="shared" si="5"/>
        <v>30096</v>
      </c>
      <c r="T30" s="43">
        <f t="shared" si="6"/>
        <v>5233.2549984</v>
      </c>
      <c r="U30" s="38">
        <v>10032</v>
      </c>
      <c r="V30" s="39">
        <v>1744.4183328</v>
      </c>
      <c r="W30" s="40">
        <f t="shared" si="7"/>
        <v>0.1738854</v>
      </c>
      <c r="X30" s="40">
        <f t="shared" si="8"/>
        <v>0.872285353535354</v>
      </c>
      <c r="Y30" s="40">
        <f t="shared" si="9"/>
        <v>0.872101589048377</v>
      </c>
      <c r="Z30" s="43"/>
      <c r="AA30" s="43"/>
      <c r="AB30" s="47">
        <f>VLOOKUP(B30,[2]查询时间段分门店销售汇总!$D$3:$L$145,9,0)</f>
        <v>20134.64</v>
      </c>
      <c r="AC30" s="47">
        <f>VLOOKUP(B30,[2]查询时间段分门店销售汇总!$D$3:$M$145,10,0)</f>
        <v>5519.11</v>
      </c>
      <c r="AD30" s="48">
        <f t="shared" si="10"/>
        <v>24076.8</v>
      </c>
      <c r="AE30" s="48">
        <f t="shared" si="11"/>
        <v>5233.2549984</v>
      </c>
      <c r="AF30" s="49">
        <v>6019.2</v>
      </c>
      <c r="AG30" s="49">
        <v>1308.3137496</v>
      </c>
      <c r="AH30" s="53">
        <f t="shared" si="12"/>
        <v>0.21735675</v>
      </c>
      <c r="AI30" s="53">
        <f t="shared" si="13"/>
        <v>0.836267278043594</v>
      </c>
      <c r="AJ30" s="53">
        <f t="shared" si="14"/>
        <v>1.05462279244703</v>
      </c>
      <c r="AK30" s="48"/>
      <c r="AL30" s="48">
        <f t="shared" si="15"/>
        <v>30096</v>
      </c>
      <c r="AM30" s="48">
        <f t="shared" si="16"/>
        <v>6018.24324816</v>
      </c>
      <c r="AN30" s="54">
        <f t="shared" si="17"/>
        <v>0.669013822434875</v>
      </c>
      <c r="AO30" s="54">
        <f t="shared" si="18"/>
        <v>0.917063297780028</v>
      </c>
      <c r="AP30" s="49"/>
      <c r="AQ30" s="49">
        <v>7524</v>
      </c>
      <c r="AR30" s="49">
        <v>1504.56081204</v>
      </c>
      <c r="AS30" s="53">
        <f t="shared" si="19"/>
        <v>0.19996821</v>
      </c>
      <c r="AT30" s="125">
        <f t="shared" si="20"/>
        <v>0</v>
      </c>
      <c r="AU30" s="57">
        <v>40</v>
      </c>
      <c r="AV30" s="118">
        <f>VLOOKUP(B30,[4]门店奖励金额汇总!$A:$D,4,0)</f>
        <v>14</v>
      </c>
    </row>
    <row r="31" spans="1:48">
      <c r="A31" s="23">
        <v>29</v>
      </c>
      <c r="B31" s="24">
        <v>339</v>
      </c>
      <c r="C31" s="24" t="s">
        <v>65</v>
      </c>
      <c r="D31" s="24" t="s">
        <v>42</v>
      </c>
      <c r="E31" s="123">
        <f>VLOOKUP(B31,[3]正式员工人数!$A:$C,3,0)</f>
        <v>2</v>
      </c>
      <c r="F31" s="30">
        <v>11</v>
      </c>
      <c r="G31" s="30">
        <v>100</v>
      </c>
      <c r="H31" s="28">
        <f>VLOOKUP(B31,[1]查询时间段分门店销售汇总!$D$3:$L$145,9,0)</f>
        <v>22497.21</v>
      </c>
      <c r="I31" s="28">
        <f>VLOOKUP(B31,[1]查询时间段分门店销售汇总!$D$3:$M$145,10,0)</f>
        <v>5217.8</v>
      </c>
      <c r="J31" s="32">
        <f t="shared" si="0"/>
        <v>27360</v>
      </c>
      <c r="K31" s="32">
        <f t="shared" si="1"/>
        <v>6156.8208</v>
      </c>
      <c r="L31" s="38">
        <v>9120</v>
      </c>
      <c r="M31" s="39">
        <v>2052.2736</v>
      </c>
      <c r="N31" s="40">
        <f t="shared" si="2"/>
        <v>0.22503</v>
      </c>
      <c r="O31" s="40">
        <f t="shared" si="3"/>
        <v>0.822266447368421</v>
      </c>
      <c r="P31" s="40">
        <f t="shared" si="4"/>
        <v>0.847482843742992</v>
      </c>
      <c r="Q31" s="43"/>
      <c r="R31" s="43"/>
      <c r="S31" s="43">
        <f t="shared" si="5"/>
        <v>30096</v>
      </c>
      <c r="T31" s="43">
        <f t="shared" si="6"/>
        <v>6095.252592</v>
      </c>
      <c r="U31" s="38">
        <v>10032</v>
      </c>
      <c r="V31" s="39">
        <v>2031.750864</v>
      </c>
      <c r="W31" s="40">
        <f t="shared" si="7"/>
        <v>0.202527</v>
      </c>
      <c r="X31" s="40">
        <f t="shared" si="8"/>
        <v>0.74751495215311</v>
      </c>
      <c r="Y31" s="40">
        <f t="shared" si="9"/>
        <v>0.856043276508072</v>
      </c>
      <c r="Z31" s="43"/>
      <c r="AA31" s="43"/>
      <c r="AB31" s="47">
        <f>VLOOKUP(B31,[2]查询时间段分门店销售汇总!$D$3:$L$145,9,0)</f>
        <v>19409.2</v>
      </c>
      <c r="AC31" s="47">
        <f>VLOOKUP(B31,[2]查询时间段分门店销售汇总!$D$3:$M$145,10,0)</f>
        <v>3965.16</v>
      </c>
      <c r="AD31" s="48">
        <f t="shared" si="10"/>
        <v>24076.8</v>
      </c>
      <c r="AE31" s="48">
        <f t="shared" si="11"/>
        <v>6095.252592</v>
      </c>
      <c r="AF31" s="49">
        <v>6019.2</v>
      </c>
      <c r="AG31" s="49">
        <v>1523.813148</v>
      </c>
      <c r="AH31" s="53">
        <f t="shared" si="12"/>
        <v>0.25315875</v>
      </c>
      <c r="AI31" s="53">
        <f t="shared" si="13"/>
        <v>0.806137028176502</v>
      </c>
      <c r="AJ31" s="53">
        <f t="shared" si="14"/>
        <v>0.650532515289729</v>
      </c>
      <c r="AK31" s="48"/>
      <c r="AL31" s="48">
        <f t="shared" si="15"/>
        <v>30096</v>
      </c>
      <c r="AM31" s="48">
        <f t="shared" si="16"/>
        <v>7009.5404808</v>
      </c>
      <c r="AN31" s="54">
        <f t="shared" si="17"/>
        <v>0.644909622541202</v>
      </c>
      <c r="AO31" s="54">
        <f t="shared" si="18"/>
        <v>0.565680448078025</v>
      </c>
      <c r="AP31" s="49"/>
      <c r="AQ31" s="49">
        <v>7524</v>
      </c>
      <c r="AR31" s="49">
        <v>1752.3851202</v>
      </c>
      <c r="AS31" s="53">
        <f t="shared" si="19"/>
        <v>0.23290605</v>
      </c>
      <c r="AT31" s="125">
        <f t="shared" si="20"/>
        <v>0</v>
      </c>
      <c r="AU31" s="57">
        <v>40</v>
      </c>
      <c r="AV31" s="118">
        <f>VLOOKUP(B31,[4]门店奖励金额汇总!$A:$D,4,0)</f>
        <v>18</v>
      </c>
    </row>
    <row r="32" spans="1:49">
      <c r="A32" s="23">
        <v>30</v>
      </c>
      <c r="B32" s="24">
        <v>727</v>
      </c>
      <c r="C32" s="24" t="s">
        <v>66</v>
      </c>
      <c r="D32" s="24" t="s">
        <v>42</v>
      </c>
      <c r="E32" s="123">
        <f>VLOOKUP(B32,[3]正式员工人数!$A:$C,3,0)</f>
        <v>2</v>
      </c>
      <c r="F32" s="30">
        <v>12</v>
      </c>
      <c r="G32" s="30">
        <v>100</v>
      </c>
      <c r="H32" s="28">
        <f>VLOOKUP(B32,[1]查询时间段分门店销售汇总!$D$3:$L$145,9,0)</f>
        <v>21345.16</v>
      </c>
      <c r="I32" s="28">
        <f>VLOOKUP(B32,[1]查询时间段分门店销售汇总!$D$3:$M$145,10,0)</f>
        <v>4371.33</v>
      </c>
      <c r="J32" s="32">
        <f t="shared" si="0"/>
        <v>27360</v>
      </c>
      <c r="K32" s="32">
        <f t="shared" si="1"/>
        <v>6686.07264</v>
      </c>
      <c r="L32" s="38">
        <v>9120</v>
      </c>
      <c r="M32" s="39">
        <v>2228.69088</v>
      </c>
      <c r="N32" s="40">
        <f t="shared" si="2"/>
        <v>0.244374</v>
      </c>
      <c r="O32" s="40">
        <f t="shared" si="3"/>
        <v>0.780159356725146</v>
      </c>
      <c r="P32" s="40">
        <f t="shared" si="4"/>
        <v>0.653796366771151</v>
      </c>
      <c r="Q32" s="43"/>
      <c r="R32" s="43"/>
      <c r="S32" s="43">
        <f t="shared" si="5"/>
        <v>30096</v>
      </c>
      <c r="T32" s="43">
        <f t="shared" si="6"/>
        <v>6619.2119136</v>
      </c>
      <c r="U32" s="38">
        <v>10032</v>
      </c>
      <c r="V32" s="39">
        <v>2206.4039712</v>
      </c>
      <c r="W32" s="40">
        <f t="shared" si="7"/>
        <v>0.2199366</v>
      </c>
      <c r="X32" s="40">
        <f t="shared" si="8"/>
        <v>0.709235778841042</v>
      </c>
      <c r="Y32" s="40">
        <f t="shared" si="9"/>
        <v>0.66040037047591</v>
      </c>
      <c r="Z32" s="43"/>
      <c r="AA32" s="43"/>
      <c r="AB32" s="47">
        <f>VLOOKUP(B32,[2]查询时间段分门店销售汇总!$D$3:$L$145,9,0)</f>
        <v>16347.59</v>
      </c>
      <c r="AC32" s="47">
        <f>VLOOKUP(B32,[2]查询时间段分门店销售汇总!$D$3:$M$145,10,0)</f>
        <v>5074</v>
      </c>
      <c r="AD32" s="48">
        <f t="shared" si="10"/>
        <v>24076.8</v>
      </c>
      <c r="AE32" s="48">
        <f t="shared" si="11"/>
        <v>6619.2119136</v>
      </c>
      <c r="AF32" s="49">
        <v>6019.2</v>
      </c>
      <c r="AG32" s="49">
        <v>1654.8029784</v>
      </c>
      <c r="AH32" s="53">
        <f t="shared" si="12"/>
        <v>0.27492075</v>
      </c>
      <c r="AI32" s="53">
        <f t="shared" si="13"/>
        <v>0.678976857389686</v>
      </c>
      <c r="AJ32" s="53">
        <f t="shared" si="14"/>
        <v>0.766556512501863</v>
      </c>
      <c r="AK32" s="48"/>
      <c r="AL32" s="48">
        <f t="shared" si="15"/>
        <v>30096</v>
      </c>
      <c r="AM32" s="48">
        <f t="shared" si="16"/>
        <v>7612.09370064</v>
      </c>
      <c r="AN32" s="54">
        <f t="shared" si="17"/>
        <v>0.543181485911749</v>
      </c>
      <c r="AO32" s="54">
        <f t="shared" si="18"/>
        <v>0.666570880436403</v>
      </c>
      <c r="AP32" s="49"/>
      <c r="AQ32" s="49">
        <v>7524</v>
      </c>
      <c r="AR32" s="49">
        <v>1903.02342516</v>
      </c>
      <c r="AS32" s="53">
        <f t="shared" si="19"/>
        <v>0.25292709</v>
      </c>
      <c r="AT32" s="125">
        <f t="shared" si="20"/>
        <v>0</v>
      </c>
      <c r="AU32" s="57">
        <v>40</v>
      </c>
      <c r="AV32" s="128">
        <f>VLOOKUP(B32,[4]门店奖励金额汇总!$A:$D,4,0)</f>
        <v>63</v>
      </c>
      <c r="AW32" s="76">
        <f>AV32*4</f>
        <v>252</v>
      </c>
    </row>
    <row r="33" spans="1:49">
      <c r="A33" s="23">
        <v>31</v>
      </c>
      <c r="B33" s="24">
        <v>115971</v>
      </c>
      <c r="C33" s="24" t="s">
        <v>67</v>
      </c>
      <c r="D33" s="24" t="s">
        <v>42</v>
      </c>
      <c r="E33" s="123">
        <f>VLOOKUP(B33,[3]正式员工人数!$A:$C,3,0)</f>
        <v>1</v>
      </c>
      <c r="F33" s="30">
        <v>12</v>
      </c>
      <c r="G33" s="30">
        <v>100</v>
      </c>
      <c r="H33" s="28">
        <f>VLOOKUP(B33,[1]查询时间段分门店销售汇总!$D$3:$L$145,9,0)</f>
        <v>24254.74</v>
      </c>
      <c r="I33" s="28">
        <f>VLOOKUP(B33,[1]查询时间段分门店销售汇总!$D$3:$M$145,10,0)</f>
        <v>4302.76</v>
      </c>
      <c r="J33" s="32">
        <f t="shared" si="0"/>
        <v>26520</v>
      </c>
      <c r="K33" s="32">
        <f t="shared" si="1"/>
        <v>5791.968</v>
      </c>
      <c r="L33" s="38">
        <v>8840</v>
      </c>
      <c r="M33" s="39">
        <v>1930.656</v>
      </c>
      <c r="N33" s="40">
        <f t="shared" si="2"/>
        <v>0.2184</v>
      </c>
      <c r="O33" s="40">
        <f t="shared" si="3"/>
        <v>0.914582956259427</v>
      </c>
      <c r="P33" s="40">
        <f t="shared" si="4"/>
        <v>0.742883938585296</v>
      </c>
      <c r="Q33" s="43"/>
      <c r="R33" s="43"/>
      <c r="S33" s="43">
        <f t="shared" si="5"/>
        <v>29172</v>
      </c>
      <c r="T33" s="43">
        <f t="shared" si="6"/>
        <v>5734.04832</v>
      </c>
      <c r="U33" s="38">
        <v>9724</v>
      </c>
      <c r="V33" s="39">
        <v>1911.34944</v>
      </c>
      <c r="W33" s="40">
        <f t="shared" si="7"/>
        <v>0.19656</v>
      </c>
      <c r="X33" s="40">
        <f t="shared" si="8"/>
        <v>0.831439051144934</v>
      </c>
      <c r="Y33" s="40">
        <f t="shared" si="9"/>
        <v>0.750387816752824</v>
      </c>
      <c r="Z33" s="43"/>
      <c r="AA33" s="43"/>
      <c r="AB33" s="47">
        <f>VLOOKUP(B33,[2]查询时间段分门店销售汇总!$D$3:$L$145,9,0)</f>
        <v>13060.91</v>
      </c>
      <c r="AC33" s="47">
        <f>VLOOKUP(B33,[2]查询时间段分门店销售汇总!$D$3:$M$145,10,0)</f>
        <v>3419.6</v>
      </c>
      <c r="AD33" s="48">
        <f t="shared" si="10"/>
        <v>23337.6</v>
      </c>
      <c r="AE33" s="48">
        <f t="shared" si="11"/>
        <v>5734.04832</v>
      </c>
      <c r="AF33" s="49">
        <v>5834.4</v>
      </c>
      <c r="AG33" s="49">
        <v>1433.51208</v>
      </c>
      <c r="AH33" s="53">
        <f t="shared" si="12"/>
        <v>0.2457</v>
      </c>
      <c r="AI33" s="53">
        <f t="shared" si="13"/>
        <v>0.559650949540655</v>
      </c>
      <c r="AJ33" s="53">
        <f t="shared" si="14"/>
        <v>0.5963674892785</v>
      </c>
      <c r="AK33" s="48"/>
      <c r="AL33" s="48">
        <f t="shared" si="15"/>
        <v>29172</v>
      </c>
      <c r="AM33" s="48">
        <f t="shared" si="16"/>
        <v>6594.155568</v>
      </c>
      <c r="AN33" s="54">
        <f t="shared" si="17"/>
        <v>0.447720759632524</v>
      </c>
      <c r="AO33" s="54">
        <f t="shared" si="18"/>
        <v>0.518580425459565</v>
      </c>
      <c r="AP33" s="49"/>
      <c r="AQ33" s="49">
        <v>7293</v>
      </c>
      <c r="AR33" s="49">
        <v>1648.538892</v>
      </c>
      <c r="AS33" s="53">
        <f t="shared" si="19"/>
        <v>0.226044</v>
      </c>
      <c r="AT33" s="125">
        <f t="shared" si="20"/>
        <v>0</v>
      </c>
      <c r="AU33" s="57">
        <v>40</v>
      </c>
      <c r="AV33" s="128">
        <f>VLOOKUP(B33,[4]门店奖励金额汇总!$A:$D,4,0)</f>
        <v>67</v>
      </c>
      <c r="AW33" s="76">
        <f>AV33*4</f>
        <v>268</v>
      </c>
    </row>
    <row r="34" spans="1:48">
      <c r="A34" s="23">
        <v>32</v>
      </c>
      <c r="B34" s="24">
        <v>730</v>
      </c>
      <c r="C34" s="24" t="s">
        <v>68</v>
      </c>
      <c r="D34" s="24" t="s">
        <v>69</v>
      </c>
      <c r="E34" s="123">
        <f>VLOOKUP(B34,[3]正式员工人数!$A:$C,3,0)</f>
        <v>5</v>
      </c>
      <c r="F34" s="27">
        <v>1</v>
      </c>
      <c r="G34" s="27">
        <v>150</v>
      </c>
      <c r="H34" s="28">
        <f>VLOOKUP(B34,[1]查询时间段分门店销售汇总!$D$3:$L$145,9,0)</f>
        <v>34997.94</v>
      </c>
      <c r="I34" s="28">
        <f>VLOOKUP(B34,[1]查询时间段分门店销售汇总!$D$3:$M$145,10,0)</f>
        <v>8720.57</v>
      </c>
      <c r="J34" s="32">
        <f t="shared" si="0"/>
        <v>69000</v>
      </c>
      <c r="K34" s="32">
        <f t="shared" si="1"/>
        <v>15607.8</v>
      </c>
      <c r="L34" s="38">
        <v>23000</v>
      </c>
      <c r="M34" s="39">
        <v>5202.6</v>
      </c>
      <c r="N34" s="40">
        <f t="shared" si="2"/>
        <v>0.2262</v>
      </c>
      <c r="O34" s="40">
        <f t="shared" si="3"/>
        <v>0.50721652173913</v>
      </c>
      <c r="P34" s="40">
        <f t="shared" si="4"/>
        <v>0.558731531670062</v>
      </c>
      <c r="Q34" s="43"/>
      <c r="R34" s="43"/>
      <c r="S34" s="43">
        <f t="shared" si="5"/>
        <v>75900</v>
      </c>
      <c r="T34" s="43">
        <f t="shared" si="6"/>
        <v>15451.722</v>
      </c>
      <c r="U34" s="38">
        <v>25300</v>
      </c>
      <c r="V34" s="39">
        <v>5150.574</v>
      </c>
      <c r="W34" s="40">
        <f t="shared" si="7"/>
        <v>0.20358</v>
      </c>
      <c r="X34" s="40">
        <f t="shared" si="8"/>
        <v>0.461105928853755</v>
      </c>
      <c r="Y34" s="40">
        <f t="shared" si="9"/>
        <v>0.564375284515215</v>
      </c>
      <c r="Z34" s="43"/>
      <c r="AA34" s="43"/>
      <c r="AB34" s="47">
        <f>VLOOKUP(B34,[2]查询时间段分门店销售汇总!$D$3:$L$145,9,0)</f>
        <v>53465.17</v>
      </c>
      <c r="AC34" s="47">
        <f>VLOOKUP(B34,[2]查询时间段分门店销售汇总!$D$3:$M$145,10,0)</f>
        <v>12479.03</v>
      </c>
      <c r="AD34" s="48">
        <f t="shared" si="10"/>
        <v>60720</v>
      </c>
      <c r="AE34" s="48">
        <f t="shared" si="11"/>
        <v>15451.722</v>
      </c>
      <c r="AF34" s="49">
        <v>15180</v>
      </c>
      <c r="AG34" s="49">
        <v>3862.9305</v>
      </c>
      <c r="AH34" s="53">
        <f t="shared" si="12"/>
        <v>0.254475</v>
      </c>
      <c r="AI34" s="53">
        <f t="shared" si="13"/>
        <v>0.880519927536232</v>
      </c>
      <c r="AJ34" s="53">
        <f t="shared" si="14"/>
        <v>0.80761419342129</v>
      </c>
      <c r="AK34" s="48"/>
      <c r="AL34" s="48">
        <f t="shared" si="15"/>
        <v>75900</v>
      </c>
      <c r="AM34" s="48">
        <f t="shared" si="16"/>
        <v>17769.4803</v>
      </c>
      <c r="AN34" s="54">
        <f t="shared" si="17"/>
        <v>0.704415942028985</v>
      </c>
      <c r="AO34" s="54">
        <f t="shared" si="18"/>
        <v>0.702273211670687</v>
      </c>
      <c r="AP34" s="49"/>
      <c r="AQ34" s="49">
        <v>18975</v>
      </c>
      <c r="AR34" s="49">
        <v>4442.370075</v>
      </c>
      <c r="AS34" s="53">
        <f t="shared" si="19"/>
        <v>0.234117</v>
      </c>
      <c r="AT34" s="125">
        <f t="shared" si="20"/>
        <v>0</v>
      </c>
      <c r="AU34" s="57">
        <v>60</v>
      </c>
      <c r="AV34" s="118">
        <f>VLOOKUP(B34,[4]门店奖励金额汇总!$A:$D,4,0)</f>
        <v>51</v>
      </c>
    </row>
    <row r="35" spans="1:48">
      <c r="A35" s="23">
        <v>33</v>
      </c>
      <c r="B35" s="24">
        <v>107658</v>
      </c>
      <c r="C35" s="24" t="s">
        <v>70</v>
      </c>
      <c r="D35" s="24" t="s">
        <v>69</v>
      </c>
      <c r="E35" s="123">
        <f>VLOOKUP(B35,[3]正式员工人数!$A:$C,3,0)</f>
        <v>3</v>
      </c>
      <c r="F35" s="27">
        <v>1</v>
      </c>
      <c r="G35" s="27">
        <v>150</v>
      </c>
      <c r="H35" s="28">
        <f>VLOOKUP(B35,[1]查询时间段分门店销售汇总!$D$3:$L$145,9,0)</f>
        <v>42100.55</v>
      </c>
      <c r="I35" s="28">
        <f>VLOOKUP(B35,[1]查询时间段分门店销售汇总!$D$3:$M$145,10,0)</f>
        <v>7989.76</v>
      </c>
      <c r="J35" s="32">
        <f t="shared" si="0"/>
        <v>59040</v>
      </c>
      <c r="K35" s="32">
        <f t="shared" si="1"/>
        <v>12535.13664</v>
      </c>
      <c r="L35" s="38">
        <v>19680</v>
      </c>
      <c r="M35" s="39">
        <v>4178.37888</v>
      </c>
      <c r="N35" s="40">
        <f t="shared" si="2"/>
        <v>0.212316</v>
      </c>
      <c r="O35" s="40">
        <f t="shared" si="3"/>
        <v>0.713085196476965</v>
      </c>
      <c r="P35" s="40">
        <f t="shared" si="4"/>
        <v>0.63738914297148</v>
      </c>
      <c r="Q35" s="43"/>
      <c r="R35" s="43"/>
      <c r="S35" s="43">
        <f t="shared" si="5"/>
        <v>64944</v>
      </c>
      <c r="T35" s="43">
        <f t="shared" si="6"/>
        <v>12409.7852736</v>
      </c>
      <c r="U35" s="38">
        <v>21648</v>
      </c>
      <c r="V35" s="39">
        <v>4136.5950912</v>
      </c>
      <c r="W35" s="40">
        <f t="shared" si="7"/>
        <v>0.1910844</v>
      </c>
      <c r="X35" s="40">
        <f t="shared" si="8"/>
        <v>0.648259269524514</v>
      </c>
      <c r="Y35" s="40">
        <f t="shared" si="9"/>
        <v>0.643827417142909</v>
      </c>
      <c r="Z35" s="43"/>
      <c r="AA35" s="43"/>
      <c r="AB35" s="47">
        <f>VLOOKUP(B35,[2]查询时间段分门店销售汇总!$D$3:$L$145,9,0)</f>
        <v>50048.4</v>
      </c>
      <c r="AC35" s="47">
        <f>VLOOKUP(B35,[2]查询时间段分门店销售汇总!$D$3:$M$145,10,0)</f>
        <v>11445.64</v>
      </c>
      <c r="AD35" s="48">
        <f t="shared" si="10"/>
        <v>51955.2</v>
      </c>
      <c r="AE35" s="48">
        <f t="shared" si="11"/>
        <v>12409.7852736</v>
      </c>
      <c r="AF35" s="49">
        <v>12988.8</v>
      </c>
      <c r="AG35" s="49">
        <v>3102.4463184</v>
      </c>
      <c r="AH35" s="53">
        <f t="shared" si="12"/>
        <v>0.2388555</v>
      </c>
      <c r="AI35" s="53">
        <f t="shared" si="13"/>
        <v>0.963299150036955</v>
      </c>
      <c r="AJ35" s="53">
        <f t="shared" si="14"/>
        <v>0.922307658646514</v>
      </c>
      <c r="AK35" s="48"/>
      <c r="AL35" s="48">
        <f t="shared" si="15"/>
        <v>64944</v>
      </c>
      <c r="AM35" s="48">
        <f t="shared" si="16"/>
        <v>14271.25306464</v>
      </c>
      <c r="AN35" s="54">
        <f t="shared" si="17"/>
        <v>0.770639320029564</v>
      </c>
      <c r="AO35" s="54">
        <f t="shared" si="18"/>
        <v>0.802006659692621</v>
      </c>
      <c r="AP35" s="49"/>
      <c r="AQ35" s="49">
        <v>16236</v>
      </c>
      <c r="AR35" s="49">
        <v>3567.81326616</v>
      </c>
      <c r="AS35" s="53">
        <f t="shared" si="19"/>
        <v>0.21974706</v>
      </c>
      <c r="AT35" s="125">
        <f t="shared" si="20"/>
        <v>0</v>
      </c>
      <c r="AU35" s="57">
        <v>60</v>
      </c>
      <c r="AV35" s="118">
        <f>VLOOKUP(B35,[4]门店奖励金额汇总!$A:$D,4,0)</f>
        <v>35</v>
      </c>
    </row>
    <row r="36" spans="1:48">
      <c r="A36" s="23">
        <v>34</v>
      </c>
      <c r="B36" s="24">
        <v>709</v>
      </c>
      <c r="C36" s="24" t="s">
        <v>71</v>
      </c>
      <c r="D36" s="24" t="s">
        <v>69</v>
      </c>
      <c r="E36" s="123">
        <f>VLOOKUP(B36,[3]正式员工人数!$A:$C,3,0)</f>
        <v>2</v>
      </c>
      <c r="F36" s="27">
        <v>2</v>
      </c>
      <c r="G36" s="27">
        <v>100</v>
      </c>
      <c r="H36" s="28">
        <f>VLOOKUP(B36,[1]查询时间段分门店销售汇总!$D$3:$L$145,9,0)</f>
        <v>25728.75</v>
      </c>
      <c r="I36" s="28">
        <f>VLOOKUP(B36,[1]查询时间段分门店销售汇总!$D$3:$M$145,10,0)</f>
        <v>5900.71</v>
      </c>
      <c r="J36" s="32">
        <f t="shared" ref="J36:J67" si="21">L36*3</f>
        <v>52500</v>
      </c>
      <c r="K36" s="32">
        <f t="shared" ref="K36:K67" si="22">M36*3</f>
        <v>12694.5</v>
      </c>
      <c r="L36" s="38">
        <v>17500</v>
      </c>
      <c r="M36" s="39">
        <v>4231.5</v>
      </c>
      <c r="N36" s="40">
        <f t="shared" ref="N36:N67" si="23">M36/L36</f>
        <v>0.2418</v>
      </c>
      <c r="O36" s="40">
        <f t="shared" ref="O36:O67" si="24">H36/J36</f>
        <v>0.490071428571429</v>
      </c>
      <c r="P36" s="40">
        <f t="shared" ref="P36:P67" si="25">I36/K36</f>
        <v>0.46482413643704</v>
      </c>
      <c r="Q36" s="43"/>
      <c r="R36" s="43"/>
      <c r="S36" s="43">
        <f t="shared" ref="S36:S67" si="26">U36*3</f>
        <v>57750</v>
      </c>
      <c r="T36" s="43">
        <f t="shared" ref="T36:T67" si="27">V36*3</f>
        <v>12567.555</v>
      </c>
      <c r="U36" s="38">
        <v>19250</v>
      </c>
      <c r="V36" s="39">
        <v>4189.185</v>
      </c>
      <c r="W36" s="40">
        <f t="shared" ref="W36:W67" si="28">V36/U36</f>
        <v>0.21762</v>
      </c>
      <c r="X36" s="40">
        <f t="shared" ref="X36:X67" si="29">H36/S36</f>
        <v>0.445519480519481</v>
      </c>
      <c r="Y36" s="40">
        <f t="shared" ref="Y36:Y67" si="30">I36/T36</f>
        <v>0.469519329734383</v>
      </c>
      <c r="Z36" s="43"/>
      <c r="AA36" s="43"/>
      <c r="AB36" s="47">
        <f>VLOOKUP(B36,[2]查询时间段分门店销售汇总!$D$3:$L$145,9,0)</f>
        <v>39878.11</v>
      </c>
      <c r="AC36" s="47">
        <f>VLOOKUP(B36,[2]查询时间段分门店销售汇总!$D$3:$M$145,10,0)</f>
        <v>9683.7</v>
      </c>
      <c r="AD36" s="48">
        <f t="shared" ref="AD36:AD67" si="31">AF36*4</f>
        <v>46200</v>
      </c>
      <c r="AE36" s="48">
        <f t="shared" ref="AE36:AE67" si="32">AG36*4</f>
        <v>12567.555</v>
      </c>
      <c r="AF36" s="49">
        <v>11550</v>
      </c>
      <c r="AG36" s="49">
        <v>3141.88875</v>
      </c>
      <c r="AH36" s="53">
        <f t="shared" ref="AH36:AH67" si="33">AG36/AF36</f>
        <v>0.272025</v>
      </c>
      <c r="AI36" s="53">
        <f t="shared" ref="AI36:AI67" si="34">AB36/AD36</f>
        <v>0.863162554112554</v>
      </c>
      <c r="AJ36" s="53">
        <f t="shared" ref="AJ36:AJ67" si="35">AC36/AE36</f>
        <v>0.770531738273674</v>
      </c>
      <c r="AK36" s="48"/>
      <c r="AL36" s="48">
        <f t="shared" ref="AL36:AL67" si="36">AQ36*4</f>
        <v>57750</v>
      </c>
      <c r="AM36" s="48">
        <f t="shared" ref="AM36:AM67" si="37">AR36*4</f>
        <v>14452.68825</v>
      </c>
      <c r="AN36" s="54">
        <f t="shared" ref="AN36:AN67" si="38">AB36/AL36</f>
        <v>0.690530043290043</v>
      </c>
      <c r="AO36" s="54">
        <f t="shared" ref="AO36:AO67" si="39">AC36/AM36</f>
        <v>0.670027598498847</v>
      </c>
      <c r="AP36" s="49"/>
      <c r="AQ36" s="49">
        <v>14437.5</v>
      </c>
      <c r="AR36" s="49">
        <v>3613.1720625</v>
      </c>
      <c r="AS36" s="53">
        <f t="shared" ref="AS36:AS67" si="40">AR36/AQ36</f>
        <v>0.250263</v>
      </c>
      <c r="AT36" s="125">
        <f t="shared" ref="AT36:AT67" si="41">Q36+R36+Z36+AA36+AK36+AP36</f>
        <v>0</v>
      </c>
      <c r="AU36" s="57">
        <v>50</v>
      </c>
      <c r="AV36" s="118">
        <f>VLOOKUP(B36,[4]门店奖励金额汇总!$A:$D,4,0)</f>
        <v>15</v>
      </c>
    </row>
    <row r="37" spans="1:48">
      <c r="A37" s="23">
        <v>35</v>
      </c>
      <c r="B37" s="24">
        <v>329</v>
      </c>
      <c r="C37" s="24" t="s">
        <v>72</v>
      </c>
      <c r="D37" s="24" t="s">
        <v>69</v>
      </c>
      <c r="E37" s="123">
        <f>VLOOKUP(B37,[3]正式员工人数!$A:$C,3,0)</f>
        <v>1</v>
      </c>
      <c r="F37" s="27">
        <v>2</v>
      </c>
      <c r="G37" s="27">
        <v>100</v>
      </c>
      <c r="H37" s="28">
        <v>27011.05</v>
      </c>
      <c r="I37" s="28">
        <v>6635.39</v>
      </c>
      <c r="J37" s="32">
        <f t="shared" si="21"/>
        <v>46800</v>
      </c>
      <c r="K37" s="32">
        <f t="shared" si="22"/>
        <v>6321.042</v>
      </c>
      <c r="L37" s="38">
        <v>15600</v>
      </c>
      <c r="M37" s="39">
        <v>2107.014</v>
      </c>
      <c r="N37" s="40">
        <f t="shared" si="23"/>
        <v>0.135065</v>
      </c>
      <c r="O37" s="40">
        <f t="shared" si="24"/>
        <v>0.577159188034188</v>
      </c>
      <c r="P37" s="41">
        <f t="shared" si="25"/>
        <v>1.04973040837254</v>
      </c>
      <c r="Q37" s="43"/>
      <c r="R37" s="43"/>
      <c r="S37" s="43">
        <f t="shared" si="26"/>
        <v>51480</v>
      </c>
      <c r="T37" s="43">
        <f t="shared" si="27"/>
        <v>6257.83158</v>
      </c>
      <c r="U37" s="38">
        <v>17160</v>
      </c>
      <c r="V37" s="39">
        <v>2085.94386</v>
      </c>
      <c r="W37" s="40">
        <f t="shared" si="28"/>
        <v>0.1215585</v>
      </c>
      <c r="X37" s="40">
        <f t="shared" si="29"/>
        <v>0.524690170940171</v>
      </c>
      <c r="Y37" s="41">
        <f t="shared" si="30"/>
        <v>1.06033374583085</v>
      </c>
      <c r="Z37" s="43"/>
      <c r="AA37" s="43"/>
      <c r="AB37" s="47">
        <f>VLOOKUP(B37,[2]查询时间段分门店销售汇总!$D$3:$L$145,9,0)</f>
        <v>23784.86</v>
      </c>
      <c r="AC37" s="47">
        <f>VLOOKUP(B37,[2]查询时间段分门店销售汇总!$D$3:$M$145,10,0)</f>
        <v>5808.88</v>
      </c>
      <c r="AD37" s="48">
        <f t="shared" si="31"/>
        <v>41184</v>
      </c>
      <c r="AE37" s="48">
        <f t="shared" si="32"/>
        <v>6257.83158</v>
      </c>
      <c r="AF37" s="49">
        <v>10296</v>
      </c>
      <c r="AG37" s="49">
        <v>1564.457895</v>
      </c>
      <c r="AH37" s="53">
        <f t="shared" si="33"/>
        <v>0.151948125</v>
      </c>
      <c r="AI37" s="53">
        <f t="shared" si="34"/>
        <v>0.577526709401709</v>
      </c>
      <c r="AJ37" s="53">
        <f t="shared" si="35"/>
        <v>0.928257644159864</v>
      </c>
      <c r="AK37" s="48"/>
      <c r="AL37" s="48">
        <f t="shared" si="36"/>
        <v>51480</v>
      </c>
      <c r="AM37" s="48">
        <f t="shared" si="37"/>
        <v>7196.506317</v>
      </c>
      <c r="AN37" s="54">
        <f t="shared" si="38"/>
        <v>0.462021367521368</v>
      </c>
      <c r="AO37" s="54">
        <f t="shared" si="39"/>
        <v>0.807180560139012</v>
      </c>
      <c r="AP37" s="49"/>
      <c r="AQ37" s="49">
        <v>12870</v>
      </c>
      <c r="AR37" s="49">
        <v>1799.12657925</v>
      </c>
      <c r="AS37" s="53">
        <f t="shared" si="40"/>
        <v>0.139792275</v>
      </c>
      <c r="AT37" s="125">
        <f t="shared" si="41"/>
        <v>0</v>
      </c>
      <c r="AU37" s="57">
        <v>50</v>
      </c>
      <c r="AV37" s="118">
        <f>VLOOKUP(B37,[4]门店奖励金额汇总!$A:$D,4,0)</f>
        <v>11</v>
      </c>
    </row>
    <row r="38" spans="1:49">
      <c r="A38" s="23">
        <v>36</v>
      </c>
      <c r="B38" s="24">
        <v>106399</v>
      </c>
      <c r="C38" s="24" t="s">
        <v>73</v>
      </c>
      <c r="D38" s="24" t="s">
        <v>69</v>
      </c>
      <c r="E38" s="123">
        <f>VLOOKUP(B38,[3]正式员工人数!$A:$C,3,0)</f>
        <v>2</v>
      </c>
      <c r="F38" s="27">
        <v>3</v>
      </c>
      <c r="G38" s="27">
        <v>100</v>
      </c>
      <c r="H38" s="28">
        <f>VLOOKUP(B38,[1]查询时间段分门店销售汇总!$D$3:$L$145,9,0)</f>
        <v>52839.15</v>
      </c>
      <c r="I38" s="28">
        <f>VLOOKUP(B38,[1]查询时间段分门店销售汇总!$D$3:$M$145,10,0)</f>
        <v>13473.25</v>
      </c>
      <c r="J38" s="32">
        <f t="shared" si="21"/>
        <v>46800</v>
      </c>
      <c r="K38" s="32">
        <f t="shared" si="22"/>
        <v>11867.4504</v>
      </c>
      <c r="L38" s="38">
        <v>15600</v>
      </c>
      <c r="M38" s="39">
        <v>3955.8168</v>
      </c>
      <c r="N38" s="40">
        <f t="shared" si="23"/>
        <v>0.253578</v>
      </c>
      <c r="O38" s="41">
        <f t="shared" si="24"/>
        <v>1.12904166666667</v>
      </c>
      <c r="P38" s="41">
        <f t="shared" si="25"/>
        <v>1.13531125438704</v>
      </c>
      <c r="Q38" s="43"/>
      <c r="R38" s="43"/>
      <c r="S38" s="43">
        <f t="shared" si="26"/>
        <v>51480</v>
      </c>
      <c r="T38" s="43">
        <f t="shared" si="27"/>
        <v>11748.775896</v>
      </c>
      <c r="U38" s="38">
        <v>17160</v>
      </c>
      <c r="V38" s="39">
        <v>3916.258632</v>
      </c>
      <c r="W38" s="40">
        <f t="shared" si="28"/>
        <v>0.2282202</v>
      </c>
      <c r="X38" s="41">
        <f t="shared" si="29"/>
        <v>1.02640151515152</v>
      </c>
      <c r="Y38" s="41">
        <f t="shared" si="30"/>
        <v>1.1467790448354</v>
      </c>
      <c r="Z38" s="43">
        <f>150*E38</f>
        <v>300</v>
      </c>
      <c r="AA38" s="43">
        <f>(I38-K38)*0.3</f>
        <v>481.73988</v>
      </c>
      <c r="AB38" s="47">
        <f>VLOOKUP(B38,[2]查询时间段分门店销售汇总!$D$3:$L$145,9,0)</f>
        <v>46010.56</v>
      </c>
      <c r="AC38" s="47">
        <f>VLOOKUP(B38,[2]查询时间段分门店销售汇总!$D$3:$M$145,10,0)</f>
        <v>11811.22</v>
      </c>
      <c r="AD38" s="48">
        <f t="shared" si="31"/>
        <v>41184</v>
      </c>
      <c r="AE38" s="48">
        <f t="shared" si="32"/>
        <v>11748.775896</v>
      </c>
      <c r="AF38" s="49">
        <v>10296</v>
      </c>
      <c r="AG38" s="49">
        <v>2937.193974</v>
      </c>
      <c r="AH38" s="53">
        <f t="shared" si="33"/>
        <v>0.28527525</v>
      </c>
      <c r="AI38" s="41">
        <f t="shared" si="34"/>
        <v>1.11719502719503</v>
      </c>
      <c r="AJ38" s="41">
        <f t="shared" si="35"/>
        <v>1.00531494553584</v>
      </c>
      <c r="AK38" s="48">
        <v>300</v>
      </c>
      <c r="AL38" s="48">
        <f t="shared" si="36"/>
        <v>51480</v>
      </c>
      <c r="AM38" s="48">
        <f t="shared" si="37"/>
        <v>13511.0922804</v>
      </c>
      <c r="AN38" s="54">
        <f t="shared" si="38"/>
        <v>0.893756021756022</v>
      </c>
      <c r="AO38" s="54">
        <f t="shared" si="39"/>
        <v>0.874186909161598</v>
      </c>
      <c r="AP38" s="49"/>
      <c r="AQ38" s="49">
        <v>12870</v>
      </c>
      <c r="AR38" s="49">
        <v>3377.7730701</v>
      </c>
      <c r="AS38" s="53">
        <f t="shared" si="40"/>
        <v>0.26245323</v>
      </c>
      <c r="AT38" s="125">
        <f t="shared" si="41"/>
        <v>1081.73988</v>
      </c>
      <c r="AU38" s="57">
        <v>50</v>
      </c>
      <c r="AV38" s="128">
        <f>VLOOKUP(B38,[4]门店奖励金额汇总!$A:$D,4,0)</f>
        <v>106</v>
      </c>
      <c r="AW38" s="76">
        <f>AV38*4</f>
        <v>424</v>
      </c>
    </row>
    <row r="39" spans="1:48">
      <c r="A39" s="23">
        <v>37</v>
      </c>
      <c r="B39" s="24">
        <v>101453</v>
      </c>
      <c r="C39" s="24" t="s">
        <v>74</v>
      </c>
      <c r="D39" s="24" t="s">
        <v>69</v>
      </c>
      <c r="E39" s="123">
        <f>VLOOKUP(B39,[3]正式员工人数!$A:$C,3,0)</f>
        <v>2</v>
      </c>
      <c r="F39" s="27">
        <v>3</v>
      </c>
      <c r="G39" s="27">
        <v>100</v>
      </c>
      <c r="H39" s="28">
        <f>VLOOKUP(B39,[1]查询时间段分门店销售汇总!$D$3:$L$145,9,0)</f>
        <v>40324.36</v>
      </c>
      <c r="I39" s="28">
        <f>VLOOKUP(B39,[1]查询时间段分门店销售汇总!$D$3:$M$145,10,0)</f>
        <v>8586.99</v>
      </c>
      <c r="J39" s="32">
        <f t="shared" si="21"/>
        <v>46500</v>
      </c>
      <c r="K39" s="32">
        <f t="shared" si="22"/>
        <v>12175.839</v>
      </c>
      <c r="L39" s="38">
        <v>15500</v>
      </c>
      <c r="M39" s="39">
        <v>4058.613</v>
      </c>
      <c r="N39" s="40">
        <f t="shared" si="23"/>
        <v>0.261846</v>
      </c>
      <c r="O39" s="40">
        <f t="shared" si="24"/>
        <v>0.867190537634409</v>
      </c>
      <c r="P39" s="40">
        <f t="shared" si="25"/>
        <v>0.705248320054166</v>
      </c>
      <c r="Q39" s="43"/>
      <c r="R39" s="43"/>
      <c r="S39" s="43">
        <f t="shared" si="26"/>
        <v>51150</v>
      </c>
      <c r="T39" s="43">
        <f t="shared" si="27"/>
        <v>12054.08061</v>
      </c>
      <c r="U39" s="38">
        <v>17050</v>
      </c>
      <c r="V39" s="39">
        <v>4018.02687</v>
      </c>
      <c r="W39" s="40">
        <f t="shared" si="28"/>
        <v>0.2356614</v>
      </c>
      <c r="X39" s="40">
        <f t="shared" si="29"/>
        <v>0.788355034213099</v>
      </c>
      <c r="Y39" s="40">
        <f t="shared" si="30"/>
        <v>0.712372040458754</v>
      </c>
      <c r="Z39" s="43"/>
      <c r="AA39" s="43"/>
      <c r="AB39" s="47">
        <f>VLOOKUP(B39,[2]查询时间段分门店销售汇总!$D$3:$L$145,9,0)</f>
        <v>33918.31</v>
      </c>
      <c r="AC39" s="47">
        <f>VLOOKUP(B39,[2]查询时间段分门店销售汇总!$D$3:$M$145,10,0)</f>
        <v>7643.68</v>
      </c>
      <c r="AD39" s="48">
        <f t="shared" si="31"/>
        <v>40920</v>
      </c>
      <c r="AE39" s="48">
        <f t="shared" si="32"/>
        <v>12054.08061</v>
      </c>
      <c r="AF39" s="49">
        <v>10230</v>
      </c>
      <c r="AG39" s="49">
        <v>3013.5201525</v>
      </c>
      <c r="AH39" s="53">
        <f t="shared" si="33"/>
        <v>0.29457675</v>
      </c>
      <c r="AI39" s="53">
        <f t="shared" si="34"/>
        <v>0.828893206256109</v>
      </c>
      <c r="AJ39" s="53">
        <f t="shared" si="35"/>
        <v>0.634115553670584</v>
      </c>
      <c r="AK39" s="48"/>
      <c r="AL39" s="48">
        <f t="shared" si="36"/>
        <v>51150</v>
      </c>
      <c r="AM39" s="48">
        <f t="shared" si="37"/>
        <v>13862.1927015</v>
      </c>
      <c r="AN39" s="54">
        <f t="shared" si="38"/>
        <v>0.663114565004888</v>
      </c>
      <c r="AO39" s="54">
        <f t="shared" si="39"/>
        <v>0.551404829278769</v>
      </c>
      <c r="AP39" s="49"/>
      <c r="AQ39" s="49">
        <v>12787.5</v>
      </c>
      <c r="AR39" s="49">
        <v>3465.548175375</v>
      </c>
      <c r="AS39" s="53">
        <f t="shared" si="40"/>
        <v>0.27101061</v>
      </c>
      <c r="AT39" s="125">
        <f t="shared" si="41"/>
        <v>0</v>
      </c>
      <c r="AU39" s="57">
        <v>50</v>
      </c>
      <c r="AV39" s="118">
        <f>VLOOKUP(B39,[4]门店奖励金额汇总!$A:$D,4,0)</f>
        <v>49</v>
      </c>
    </row>
    <row r="40" spans="1:48">
      <c r="A40" s="23">
        <v>38</v>
      </c>
      <c r="B40" s="24">
        <v>120844</v>
      </c>
      <c r="C40" s="24" t="s">
        <v>75</v>
      </c>
      <c r="D40" s="24" t="s">
        <v>69</v>
      </c>
      <c r="E40" s="123">
        <f>VLOOKUP(B40,[3]正式员工人数!$A:$C,3,0)</f>
        <v>2</v>
      </c>
      <c r="F40" s="27">
        <v>4</v>
      </c>
      <c r="G40" s="27">
        <v>100</v>
      </c>
      <c r="H40" s="28">
        <f>VLOOKUP(B40,[1]查询时间段分门店销售汇总!$D$3:$L$145,9,0)</f>
        <v>45623.78</v>
      </c>
      <c r="I40" s="28">
        <f>VLOOKUP(B40,[1]查询时间段分门店销售汇总!$D$3:$M$145,10,0)</f>
        <v>6648.1</v>
      </c>
      <c r="J40" s="32">
        <f t="shared" si="21"/>
        <v>41760</v>
      </c>
      <c r="K40" s="32">
        <f t="shared" si="22"/>
        <v>7349.76</v>
      </c>
      <c r="L40" s="38">
        <v>13920</v>
      </c>
      <c r="M40" s="39">
        <v>2449.92</v>
      </c>
      <c r="N40" s="40">
        <f t="shared" si="23"/>
        <v>0.176</v>
      </c>
      <c r="O40" s="41">
        <f t="shared" si="24"/>
        <v>1.09252346743295</v>
      </c>
      <c r="P40" s="40">
        <f t="shared" si="25"/>
        <v>0.90453293712992</v>
      </c>
      <c r="Q40" s="43">
        <f>E40*70</f>
        <v>140</v>
      </c>
      <c r="R40" s="43"/>
      <c r="S40" s="43">
        <f t="shared" si="26"/>
        <v>45936</v>
      </c>
      <c r="T40" s="43">
        <f t="shared" si="27"/>
        <v>7276.2624</v>
      </c>
      <c r="U40" s="38">
        <v>15312</v>
      </c>
      <c r="V40" s="39">
        <v>2425.4208</v>
      </c>
      <c r="W40" s="40">
        <f t="shared" si="28"/>
        <v>0.1584</v>
      </c>
      <c r="X40" s="40">
        <f t="shared" si="29"/>
        <v>0.993203152211773</v>
      </c>
      <c r="Y40" s="40">
        <f t="shared" si="30"/>
        <v>0.913669633464566</v>
      </c>
      <c r="Z40" s="43"/>
      <c r="AA40" s="43"/>
      <c r="AB40" s="47">
        <f>VLOOKUP(B40,[2]查询时间段分门店销售汇总!$D$3:$L$145,9,0)</f>
        <v>25496.26</v>
      </c>
      <c r="AC40" s="47">
        <f>VLOOKUP(B40,[2]查询时间段分门店销售汇总!$D$3:$M$145,10,0)</f>
        <v>4950.64</v>
      </c>
      <c r="AD40" s="48">
        <f t="shared" si="31"/>
        <v>36748.8</v>
      </c>
      <c r="AE40" s="48">
        <f t="shared" si="32"/>
        <v>7276.2624</v>
      </c>
      <c r="AF40" s="49">
        <v>9187.2</v>
      </c>
      <c r="AG40" s="49">
        <v>1819.0656</v>
      </c>
      <c r="AH40" s="53">
        <f t="shared" si="33"/>
        <v>0.198</v>
      </c>
      <c r="AI40" s="53">
        <f t="shared" si="34"/>
        <v>0.693798436955764</v>
      </c>
      <c r="AJ40" s="53">
        <f t="shared" si="35"/>
        <v>0.680382279781444</v>
      </c>
      <c r="AK40" s="48"/>
      <c r="AL40" s="48">
        <f t="shared" si="36"/>
        <v>45936</v>
      </c>
      <c r="AM40" s="48">
        <f t="shared" si="37"/>
        <v>8367.70176</v>
      </c>
      <c r="AN40" s="54">
        <f t="shared" si="38"/>
        <v>0.555038749564612</v>
      </c>
      <c r="AO40" s="54">
        <f t="shared" si="39"/>
        <v>0.591636765027343</v>
      </c>
      <c r="AP40" s="49"/>
      <c r="AQ40" s="49">
        <v>11484</v>
      </c>
      <c r="AR40" s="49">
        <v>2091.92544</v>
      </c>
      <c r="AS40" s="53">
        <f t="shared" si="40"/>
        <v>0.18216</v>
      </c>
      <c r="AT40" s="125">
        <f t="shared" si="41"/>
        <v>140</v>
      </c>
      <c r="AU40" s="57">
        <v>50</v>
      </c>
      <c r="AV40" s="118">
        <f>VLOOKUP(B40,[4]门店奖励金额汇总!$A:$D,4,0)</f>
        <v>11</v>
      </c>
    </row>
    <row r="41" spans="1:48">
      <c r="A41" s="23">
        <v>39</v>
      </c>
      <c r="B41" s="24">
        <v>114286</v>
      </c>
      <c r="C41" s="24" t="s">
        <v>76</v>
      </c>
      <c r="D41" s="24" t="s">
        <v>69</v>
      </c>
      <c r="E41" s="123">
        <f>VLOOKUP(B41,[3]正式员工人数!$A:$C,3,0)</f>
        <v>2</v>
      </c>
      <c r="F41" s="27">
        <v>4</v>
      </c>
      <c r="G41" s="27">
        <v>100</v>
      </c>
      <c r="H41" s="28">
        <f>VLOOKUP(B41,[1]查询时间段分门店销售汇总!$D$3:$L$145,9,0)</f>
        <v>44028.43</v>
      </c>
      <c r="I41" s="28">
        <f>VLOOKUP(B41,[1]查询时间段分门店销售汇总!$D$3:$M$145,10,0)</f>
        <v>9580.92</v>
      </c>
      <c r="J41" s="32">
        <f t="shared" si="21"/>
        <v>36000</v>
      </c>
      <c r="K41" s="32">
        <f t="shared" si="22"/>
        <v>7674.264</v>
      </c>
      <c r="L41" s="38">
        <v>12000</v>
      </c>
      <c r="M41" s="39">
        <v>2558.088</v>
      </c>
      <c r="N41" s="40">
        <f t="shared" si="23"/>
        <v>0.213174</v>
      </c>
      <c r="O41" s="41">
        <f t="shared" si="24"/>
        <v>1.22301194444444</v>
      </c>
      <c r="P41" s="41">
        <f t="shared" si="25"/>
        <v>1.24844805964455</v>
      </c>
      <c r="Q41" s="43"/>
      <c r="R41" s="43"/>
      <c r="S41" s="43">
        <f t="shared" si="26"/>
        <v>39600</v>
      </c>
      <c r="T41" s="43">
        <f t="shared" si="27"/>
        <v>7597.52136</v>
      </c>
      <c r="U41" s="38">
        <v>13200</v>
      </c>
      <c r="V41" s="39">
        <v>2532.50712</v>
      </c>
      <c r="W41" s="40">
        <f t="shared" si="28"/>
        <v>0.1918566</v>
      </c>
      <c r="X41" s="41">
        <f t="shared" si="29"/>
        <v>1.11182904040404</v>
      </c>
      <c r="Y41" s="41">
        <f t="shared" si="30"/>
        <v>1.2610586461056</v>
      </c>
      <c r="Z41" s="43">
        <f>150*E41</f>
        <v>300</v>
      </c>
      <c r="AA41" s="43">
        <f>(I41-K41)*0.3</f>
        <v>571.9968</v>
      </c>
      <c r="AB41" s="47">
        <f>VLOOKUP(B41,[2]查询时间段分门店销售汇总!$D$3:$L$145,9,0)</f>
        <v>26491.05</v>
      </c>
      <c r="AC41" s="47">
        <f>VLOOKUP(B41,[2]查询时间段分门店销售汇总!$D$3:$M$145,10,0)</f>
        <v>5580.38</v>
      </c>
      <c r="AD41" s="48">
        <f t="shared" si="31"/>
        <v>31680</v>
      </c>
      <c r="AE41" s="48">
        <f t="shared" si="32"/>
        <v>7597.52136</v>
      </c>
      <c r="AF41" s="49">
        <v>7920</v>
      </c>
      <c r="AG41" s="49">
        <v>1899.38034</v>
      </c>
      <c r="AH41" s="53">
        <f t="shared" si="33"/>
        <v>0.23982075</v>
      </c>
      <c r="AI41" s="53">
        <f t="shared" si="34"/>
        <v>0.836207386363636</v>
      </c>
      <c r="AJ41" s="53">
        <f t="shared" si="35"/>
        <v>0.734500073850401</v>
      </c>
      <c r="AK41" s="48"/>
      <c r="AL41" s="48">
        <f t="shared" si="36"/>
        <v>39600</v>
      </c>
      <c r="AM41" s="48">
        <f t="shared" si="37"/>
        <v>8737.149564</v>
      </c>
      <c r="AN41" s="54">
        <f t="shared" si="38"/>
        <v>0.668965909090909</v>
      </c>
      <c r="AO41" s="54">
        <f t="shared" si="39"/>
        <v>0.638695716391653</v>
      </c>
      <c r="AP41" s="49"/>
      <c r="AQ41" s="49">
        <v>9900</v>
      </c>
      <c r="AR41" s="49">
        <v>2184.287391</v>
      </c>
      <c r="AS41" s="53">
        <f t="shared" si="40"/>
        <v>0.22063509</v>
      </c>
      <c r="AT41" s="125">
        <f t="shared" si="41"/>
        <v>871.9968</v>
      </c>
      <c r="AU41" s="57">
        <v>50</v>
      </c>
      <c r="AV41" s="118">
        <f>VLOOKUP(B41,[4]门店奖励金额汇总!$A:$D,4,0)</f>
        <v>5</v>
      </c>
    </row>
    <row r="42" spans="1:48">
      <c r="A42" s="23">
        <v>40</v>
      </c>
      <c r="B42" s="24">
        <v>752</v>
      </c>
      <c r="C42" s="24" t="s">
        <v>77</v>
      </c>
      <c r="D42" s="24" t="s">
        <v>69</v>
      </c>
      <c r="E42" s="123">
        <f>VLOOKUP(B42,[3]正式员工人数!$A:$C,3,0)</f>
        <v>3</v>
      </c>
      <c r="F42" s="27">
        <v>5</v>
      </c>
      <c r="G42" s="27">
        <v>100</v>
      </c>
      <c r="H42" s="28">
        <f>VLOOKUP(B42,[1]查询时间段分门店销售汇总!$D$3:$L$145,9,0)</f>
        <v>16195.66</v>
      </c>
      <c r="I42" s="28">
        <f>VLOOKUP(B42,[1]查询时间段分门店销售汇总!$D$3:$M$145,10,0)</f>
        <v>2890.71</v>
      </c>
      <c r="J42" s="32">
        <f t="shared" si="21"/>
        <v>28800</v>
      </c>
      <c r="K42" s="32">
        <f t="shared" si="22"/>
        <v>6993.0432</v>
      </c>
      <c r="L42" s="38">
        <v>9600</v>
      </c>
      <c r="M42" s="39">
        <v>2331.0144</v>
      </c>
      <c r="N42" s="40">
        <f t="shared" si="23"/>
        <v>0.242814</v>
      </c>
      <c r="O42" s="40">
        <f t="shared" si="24"/>
        <v>0.562349305555556</v>
      </c>
      <c r="P42" s="40">
        <f t="shared" si="25"/>
        <v>0.413369389738648</v>
      </c>
      <c r="Q42" s="43"/>
      <c r="R42" s="43"/>
      <c r="S42" s="43">
        <f t="shared" si="26"/>
        <v>31680</v>
      </c>
      <c r="T42" s="43">
        <f t="shared" si="27"/>
        <v>6923.112768</v>
      </c>
      <c r="U42" s="38">
        <v>10560</v>
      </c>
      <c r="V42" s="39">
        <v>2307.704256</v>
      </c>
      <c r="W42" s="40">
        <f t="shared" si="28"/>
        <v>0.2185326</v>
      </c>
      <c r="X42" s="40">
        <f t="shared" si="29"/>
        <v>0.511226641414141</v>
      </c>
      <c r="Y42" s="40">
        <f t="shared" si="30"/>
        <v>0.417544838119846</v>
      </c>
      <c r="Z42" s="43"/>
      <c r="AA42" s="43"/>
      <c r="AB42" s="47">
        <f>VLOOKUP(B42,[2]查询时间段分门店销售汇总!$D$3:$L$145,9,0)</f>
        <v>17810.6</v>
      </c>
      <c r="AC42" s="47">
        <f>VLOOKUP(B42,[2]查询时间段分门店销售汇总!$D$3:$M$145,10,0)</f>
        <v>3339.09</v>
      </c>
      <c r="AD42" s="48">
        <f t="shared" si="31"/>
        <v>25344</v>
      </c>
      <c r="AE42" s="48">
        <f t="shared" si="32"/>
        <v>6923.112768</v>
      </c>
      <c r="AF42" s="49">
        <v>6336</v>
      </c>
      <c r="AG42" s="49">
        <v>1730.778192</v>
      </c>
      <c r="AH42" s="53">
        <f t="shared" si="33"/>
        <v>0.27316575</v>
      </c>
      <c r="AI42" s="53">
        <f t="shared" si="34"/>
        <v>0.702754103535354</v>
      </c>
      <c r="AJ42" s="53">
        <f t="shared" si="35"/>
        <v>0.482310502789141</v>
      </c>
      <c r="AK42" s="48"/>
      <c r="AL42" s="48">
        <f t="shared" si="36"/>
        <v>31680</v>
      </c>
      <c r="AM42" s="48">
        <f t="shared" si="37"/>
        <v>7961.5796832</v>
      </c>
      <c r="AN42" s="54">
        <f t="shared" si="38"/>
        <v>0.562203282828283</v>
      </c>
      <c r="AO42" s="54">
        <f t="shared" si="39"/>
        <v>0.419400437207949</v>
      </c>
      <c r="AP42" s="49"/>
      <c r="AQ42" s="49">
        <v>7920</v>
      </c>
      <c r="AR42" s="49">
        <v>1990.3949208</v>
      </c>
      <c r="AS42" s="53">
        <f t="shared" si="40"/>
        <v>0.25131249</v>
      </c>
      <c r="AT42" s="125">
        <f t="shared" si="41"/>
        <v>0</v>
      </c>
      <c r="AU42" s="57">
        <v>40</v>
      </c>
      <c r="AV42" s="118">
        <f>VLOOKUP(B42,[4]门店奖励金额汇总!$A:$D,4,0)</f>
        <v>35</v>
      </c>
    </row>
    <row r="43" spans="1:48">
      <c r="A43" s="23">
        <v>41</v>
      </c>
      <c r="B43" s="24">
        <v>112888</v>
      </c>
      <c r="C43" s="24" t="s">
        <v>78</v>
      </c>
      <c r="D43" s="24" t="s">
        <v>69</v>
      </c>
      <c r="E43" s="123">
        <f>VLOOKUP(B43,[3]正式员工人数!$A:$C,3,0)</f>
        <v>2</v>
      </c>
      <c r="F43" s="27">
        <v>5</v>
      </c>
      <c r="G43" s="27">
        <v>100</v>
      </c>
      <c r="H43" s="28">
        <f>VLOOKUP(B43,[1]查询时间段分门店销售汇总!$D$3:$L$145,9,0)</f>
        <v>23756.88</v>
      </c>
      <c r="I43" s="28">
        <f>VLOOKUP(B43,[1]查询时间段分门店销售汇总!$D$3:$M$145,10,0)</f>
        <v>4023.26</v>
      </c>
      <c r="J43" s="32">
        <f t="shared" si="21"/>
        <v>28800</v>
      </c>
      <c r="K43" s="32">
        <f t="shared" si="22"/>
        <v>7413.12</v>
      </c>
      <c r="L43" s="38">
        <v>9600</v>
      </c>
      <c r="M43" s="39">
        <v>2471.04</v>
      </c>
      <c r="N43" s="40">
        <f t="shared" si="23"/>
        <v>0.2574</v>
      </c>
      <c r="O43" s="40">
        <f t="shared" si="24"/>
        <v>0.824891666666667</v>
      </c>
      <c r="P43" s="40">
        <f t="shared" si="25"/>
        <v>0.54272155313822</v>
      </c>
      <c r="Q43" s="43"/>
      <c r="R43" s="43"/>
      <c r="S43" s="43">
        <f t="shared" si="26"/>
        <v>31680</v>
      </c>
      <c r="T43" s="43">
        <f t="shared" si="27"/>
        <v>7338.9888</v>
      </c>
      <c r="U43" s="38">
        <v>10560</v>
      </c>
      <c r="V43" s="39">
        <v>2446.3296</v>
      </c>
      <c r="W43" s="40">
        <f t="shared" si="28"/>
        <v>0.23166</v>
      </c>
      <c r="X43" s="40">
        <f t="shared" si="29"/>
        <v>0.749901515151515</v>
      </c>
      <c r="Y43" s="40">
        <f t="shared" si="30"/>
        <v>0.548203589028505</v>
      </c>
      <c r="Z43" s="43"/>
      <c r="AA43" s="43"/>
      <c r="AB43" s="47">
        <f>VLOOKUP(B43,[2]查询时间段分门店销售汇总!$D$3:$L$145,9,0)</f>
        <v>14783.04</v>
      </c>
      <c r="AC43" s="47">
        <f>VLOOKUP(B43,[2]查询时间段分门店销售汇总!$D$3:$M$145,10,0)</f>
        <v>4502.42</v>
      </c>
      <c r="AD43" s="48">
        <f t="shared" si="31"/>
        <v>25344</v>
      </c>
      <c r="AE43" s="48">
        <f t="shared" si="32"/>
        <v>7338.9888</v>
      </c>
      <c r="AF43" s="49">
        <v>6336</v>
      </c>
      <c r="AG43" s="49">
        <v>1834.7472</v>
      </c>
      <c r="AH43" s="53">
        <f t="shared" si="33"/>
        <v>0.289575</v>
      </c>
      <c r="AI43" s="53">
        <f t="shared" si="34"/>
        <v>0.583295454545455</v>
      </c>
      <c r="AJ43" s="53">
        <f t="shared" si="35"/>
        <v>0.613493237651487</v>
      </c>
      <c r="AK43" s="48"/>
      <c r="AL43" s="48">
        <f t="shared" si="36"/>
        <v>31680</v>
      </c>
      <c r="AM43" s="48">
        <f t="shared" si="37"/>
        <v>8439.83712</v>
      </c>
      <c r="AN43" s="54">
        <f t="shared" si="38"/>
        <v>0.466636363636364</v>
      </c>
      <c r="AO43" s="54">
        <f t="shared" si="39"/>
        <v>0.53347238056651</v>
      </c>
      <c r="AP43" s="49"/>
      <c r="AQ43" s="49">
        <v>7920</v>
      </c>
      <c r="AR43" s="49">
        <v>2109.95928</v>
      </c>
      <c r="AS43" s="53">
        <f t="shared" si="40"/>
        <v>0.266409</v>
      </c>
      <c r="AT43" s="125">
        <f t="shared" si="41"/>
        <v>0</v>
      </c>
      <c r="AU43" s="57">
        <v>40</v>
      </c>
      <c r="AV43" s="118">
        <f>VLOOKUP(B43,[4]门店奖励金额汇总!$A:$D,4,0)</f>
        <v>2</v>
      </c>
    </row>
    <row r="44" spans="1:48">
      <c r="A44" s="23">
        <v>42</v>
      </c>
      <c r="B44" s="24">
        <v>570</v>
      </c>
      <c r="C44" s="24" t="s">
        <v>79</v>
      </c>
      <c r="D44" s="24" t="s">
        <v>69</v>
      </c>
      <c r="E44" s="123">
        <f>VLOOKUP(B44,[3]正式员工人数!$A:$C,3,0)</f>
        <v>2</v>
      </c>
      <c r="F44" s="27">
        <v>5</v>
      </c>
      <c r="G44" s="27">
        <v>100</v>
      </c>
      <c r="H44" s="28">
        <f>VLOOKUP(B44,[1]查询时间段分门店销售汇总!$D$3:$L$145,9,0)</f>
        <v>31315.58</v>
      </c>
      <c r="I44" s="28">
        <f>VLOOKUP(B44,[1]查询时间段分门店销售汇总!$D$3:$M$145,10,0)</f>
        <v>8276.74</v>
      </c>
      <c r="J44" s="32">
        <f t="shared" si="21"/>
        <v>28800</v>
      </c>
      <c r="K44" s="32">
        <f t="shared" si="22"/>
        <v>6757.1712</v>
      </c>
      <c r="L44" s="38">
        <v>9600</v>
      </c>
      <c r="M44" s="39">
        <v>2252.3904</v>
      </c>
      <c r="N44" s="40">
        <f t="shared" si="23"/>
        <v>0.234624</v>
      </c>
      <c r="O44" s="41">
        <f t="shared" si="24"/>
        <v>1.08734652777778</v>
      </c>
      <c r="P44" s="41">
        <f t="shared" si="25"/>
        <v>1.224882388654</v>
      </c>
      <c r="Q44" s="43">
        <f>E44*70</f>
        <v>140</v>
      </c>
      <c r="R44" s="43">
        <f>(I44-K44)*0.2</f>
        <v>303.91376</v>
      </c>
      <c r="S44" s="43">
        <f t="shared" si="26"/>
        <v>31680</v>
      </c>
      <c r="T44" s="43">
        <f t="shared" si="27"/>
        <v>6689.599488</v>
      </c>
      <c r="U44" s="38">
        <v>10560</v>
      </c>
      <c r="V44" s="39">
        <v>2229.866496</v>
      </c>
      <c r="W44" s="40">
        <f t="shared" si="28"/>
        <v>0.2111616</v>
      </c>
      <c r="X44" s="40">
        <f t="shared" si="29"/>
        <v>0.988496843434344</v>
      </c>
      <c r="Y44" s="41">
        <f t="shared" si="30"/>
        <v>1.23725493803434</v>
      </c>
      <c r="Z44" s="43"/>
      <c r="AA44" s="43"/>
      <c r="AB44" s="47">
        <f>VLOOKUP(B44,[2]查询时间段分门店销售汇总!$D$3:$L$145,9,0)</f>
        <v>23070.05</v>
      </c>
      <c r="AC44" s="47">
        <f>VLOOKUP(B44,[2]查询时间段分门店销售汇总!$D$3:$M$145,10,0)</f>
        <v>6520.53</v>
      </c>
      <c r="AD44" s="48">
        <f t="shared" si="31"/>
        <v>25344</v>
      </c>
      <c r="AE44" s="48">
        <f t="shared" si="32"/>
        <v>6689.599488</v>
      </c>
      <c r="AF44" s="49">
        <v>6336</v>
      </c>
      <c r="AG44" s="49">
        <v>1672.399872</v>
      </c>
      <c r="AH44" s="53">
        <f t="shared" si="33"/>
        <v>0.263952</v>
      </c>
      <c r="AI44" s="53">
        <f t="shared" si="34"/>
        <v>0.910276594065657</v>
      </c>
      <c r="AJ44" s="53">
        <f t="shared" si="35"/>
        <v>0.974726515645177</v>
      </c>
      <c r="AK44" s="48"/>
      <c r="AL44" s="48">
        <f t="shared" si="36"/>
        <v>31680</v>
      </c>
      <c r="AM44" s="48">
        <f t="shared" si="37"/>
        <v>7693.0394112</v>
      </c>
      <c r="AN44" s="54">
        <f t="shared" si="38"/>
        <v>0.728221275252525</v>
      </c>
      <c r="AO44" s="54">
        <f t="shared" si="39"/>
        <v>0.847588274474067</v>
      </c>
      <c r="AP44" s="49"/>
      <c r="AQ44" s="49">
        <v>7920</v>
      </c>
      <c r="AR44" s="49">
        <v>1923.2598528</v>
      </c>
      <c r="AS44" s="53">
        <f t="shared" si="40"/>
        <v>0.24283584</v>
      </c>
      <c r="AT44" s="125">
        <f t="shared" si="41"/>
        <v>443.91376</v>
      </c>
      <c r="AU44" s="57">
        <v>40</v>
      </c>
      <c r="AV44" s="118">
        <f>VLOOKUP(B44,[4]门店奖励金额汇总!$A:$D,4,0)</f>
        <v>23</v>
      </c>
    </row>
    <row r="45" spans="1:48">
      <c r="A45" s="23">
        <v>43</v>
      </c>
      <c r="B45" s="24">
        <v>113833</v>
      </c>
      <c r="C45" s="24" t="s">
        <v>80</v>
      </c>
      <c r="D45" s="24" t="s">
        <v>69</v>
      </c>
      <c r="E45" s="123">
        <f>VLOOKUP(B45,[3]正式员工人数!$A:$C,3,0)</f>
        <v>2</v>
      </c>
      <c r="F45" s="27">
        <v>6</v>
      </c>
      <c r="G45" s="27">
        <v>100</v>
      </c>
      <c r="H45" s="28">
        <f>VLOOKUP(B45,[1]查询时间段分门店销售汇总!$D$3:$L$145,9,0)</f>
        <v>30234.43</v>
      </c>
      <c r="I45" s="28">
        <f>VLOOKUP(B45,[1]查询时间段分门店销售汇总!$D$3:$M$145,10,0)</f>
        <v>7074.2</v>
      </c>
      <c r="J45" s="32">
        <f t="shared" si="21"/>
        <v>26280</v>
      </c>
      <c r="K45" s="32">
        <f t="shared" si="22"/>
        <v>6559.488</v>
      </c>
      <c r="L45" s="38">
        <v>8760</v>
      </c>
      <c r="M45" s="39">
        <v>2186.496</v>
      </c>
      <c r="N45" s="40">
        <f t="shared" si="23"/>
        <v>0.2496</v>
      </c>
      <c r="O45" s="41">
        <f t="shared" si="24"/>
        <v>1.15047298325723</v>
      </c>
      <c r="P45" s="41">
        <f t="shared" si="25"/>
        <v>1.07846831947859</v>
      </c>
      <c r="Q45" s="43"/>
      <c r="R45" s="43"/>
      <c r="S45" s="43">
        <f t="shared" si="26"/>
        <v>28908</v>
      </c>
      <c r="T45" s="43">
        <f t="shared" si="27"/>
        <v>6493.89312</v>
      </c>
      <c r="U45" s="38">
        <v>9636</v>
      </c>
      <c r="V45" s="39">
        <v>2164.63104</v>
      </c>
      <c r="W45" s="40">
        <f t="shared" si="28"/>
        <v>0.22464</v>
      </c>
      <c r="X45" s="41">
        <f t="shared" si="29"/>
        <v>1.04588453023385</v>
      </c>
      <c r="Y45" s="41">
        <f t="shared" si="30"/>
        <v>1.08936193886727</v>
      </c>
      <c r="Z45" s="43">
        <f>150*E45</f>
        <v>300</v>
      </c>
      <c r="AA45" s="43">
        <f>(I45-K45)*0.3</f>
        <v>154.4136</v>
      </c>
      <c r="AB45" s="47">
        <f>VLOOKUP(B45,[2]查询时间段分门店销售汇总!$D$3:$L$145,9,0)</f>
        <v>26943.52</v>
      </c>
      <c r="AC45" s="47">
        <f>VLOOKUP(B45,[2]查询时间段分门店销售汇总!$D$3:$M$145,10,0)</f>
        <v>6228.88</v>
      </c>
      <c r="AD45" s="48">
        <f t="shared" si="31"/>
        <v>23126.4</v>
      </c>
      <c r="AE45" s="48">
        <f t="shared" si="32"/>
        <v>6493.89312</v>
      </c>
      <c r="AF45" s="49">
        <v>5781.6</v>
      </c>
      <c r="AG45" s="49">
        <v>1623.47328</v>
      </c>
      <c r="AH45" s="53">
        <f t="shared" si="33"/>
        <v>0.2808</v>
      </c>
      <c r="AI45" s="53">
        <f t="shared" si="34"/>
        <v>1.16505465615055</v>
      </c>
      <c r="AJ45" s="53">
        <f t="shared" si="35"/>
        <v>0.959190409342616</v>
      </c>
      <c r="AK45" s="48"/>
      <c r="AL45" s="48">
        <f t="shared" si="36"/>
        <v>28908</v>
      </c>
      <c r="AM45" s="48">
        <f t="shared" si="37"/>
        <v>7467.977088</v>
      </c>
      <c r="AN45" s="54">
        <f t="shared" si="38"/>
        <v>0.932043724920437</v>
      </c>
      <c r="AO45" s="54">
        <f t="shared" si="39"/>
        <v>0.834078616819666</v>
      </c>
      <c r="AP45" s="49"/>
      <c r="AQ45" s="49">
        <v>7227</v>
      </c>
      <c r="AR45" s="49">
        <v>1866.994272</v>
      </c>
      <c r="AS45" s="53">
        <f t="shared" si="40"/>
        <v>0.258336</v>
      </c>
      <c r="AT45" s="125">
        <f t="shared" si="41"/>
        <v>454.4136</v>
      </c>
      <c r="AU45" s="57">
        <v>40</v>
      </c>
      <c r="AV45" s="118">
        <f>VLOOKUP(B45,[4]门店奖励金额汇总!$A:$D,4,0)</f>
        <v>23</v>
      </c>
    </row>
    <row r="46" spans="1:48">
      <c r="A46" s="23">
        <v>44</v>
      </c>
      <c r="B46" s="24">
        <v>104429</v>
      </c>
      <c r="C46" s="24" t="s">
        <v>81</v>
      </c>
      <c r="D46" s="24" t="s">
        <v>69</v>
      </c>
      <c r="E46" s="123">
        <f>VLOOKUP(B46,[3]正式员工人数!$A:$C,3,0)</f>
        <v>2</v>
      </c>
      <c r="F46" s="27">
        <v>6</v>
      </c>
      <c r="G46" s="27">
        <v>100</v>
      </c>
      <c r="H46" s="28">
        <f>VLOOKUP(B46,[1]查询时间段分门店销售汇总!$D$3:$L$145,9,0)</f>
        <v>22234.14</v>
      </c>
      <c r="I46" s="28">
        <f>VLOOKUP(B46,[1]查询时间段分门店销售汇总!$D$3:$M$145,10,0)</f>
        <v>5170.17</v>
      </c>
      <c r="J46" s="32">
        <f t="shared" si="21"/>
        <v>25200</v>
      </c>
      <c r="K46" s="32">
        <f t="shared" si="22"/>
        <v>4479.6024</v>
      </c>
      <c r="L46" s="38">
        <v>8400</v>
      </c>
      <c r="M46" s="39">
        <v>1493.2008</v>
      </c>
      <c r="N46" s="40">
        <f t="shared" si="23"/>
        <v>0.177762</v>
      </c>
      <c r="O46" s="40">
        <f t="shared" si="24"/>
        <v>0.882307142857143</v>
      </c>
      <c r="P46" s="41">
        <f t="shared" si="25"/>
        <v>1.15415823511479</v>
      </c>
      <c r="Q46" s="43"/>
      <c r="R46" s="43"/>
      <c r="S46" s="43">
        <f t="shared" si="26"/>
        <v>27720</v>
      </c>
      <c r="T46" s="43">
        <f t="shared" si="27"/>
        <v>4434.806376</v>
      </c>
      <c r="U46" s="38">
        <v>9240</v>
      </c>
      <c r="V46" s="39">
        <v>1478.268792</v>
      </c>
      <c r="W46" s="40">
        <f t="shared" si="28"/>
        <v>0.1599858</v>
      </c>
      <c r="X46" s="40">
        <f t="shared" si="29"/>
        <v>0.802097402597403</v>
      </c>
      <c r="Y46" s="41">
        <f t="shared" si="30"/>
        <v>1.16581639910585</v>
      </c>
      <c r="Z46" s="43"/>
      <c r="AA46" s="43"/>
      <c r="AB46" s="47">
        <f>VLOOKUP(B46,[2]查询时间段分门店销售汇总!$D$3:$L$145,9,0)</f>
        <v>17675.85</v>
      </c>
      <c r="AC46" s="47">
        <f>VLOOKUP(B46,[2]查询时间段分门店销售汇总!$D$3:$M$145,10,0)</f>
        <v>2635.15</v>
      </c>
      <c r="AD46" s="48">
        <f t="shared" si="31"/>
        <v>22176</v>
      </c>
      <c r="AE46" s="48">
        <f t="shared" si="32"/>
        <v>4434.806376</v>
      </c>
      <c r="AF46" s="49">
        <v>5544</v>
      </c>
      <c r="AG46" s="49">
        <v>1108.701594</v>
      </c>
      <c r="AH46" s="53">
        <f t="shared" si="33"/>
        <v>0.19998225</v>
      </c>
      <c r="AI46" s="53">
        <f t="shared" si="34"/>
        <v>0.797071158008658</v>
      </c>
      <c r="AJ46" s="53">
        <f t="shared" si="35"/>
        <v>0.594197305717953</v>
      </c>
      <c r="AK46" s="48"/>
      <c r="AL46" s="48">
        <f t="shared" si="36"/>
        <v>27720</v>
      </c>
      <c r="AM46" s="48">
        <f t="shared" si="37"/>
        <v>5100.0273324</v>
      </c>
      <c r="AN46" s="54">
        <f t="shared" si="38"/>
        <v>0.637656926406926</v>
      </c>
      <c r="AO46" s="54">
        <f t="shared" si="39"/>
        <v>0.516693309319959</v>
      </c>
      <c r="AP46" s="49"/>
      <c r="AQ46" s="49">
        <v>6930</v>
      </c>
      <c r="AR46" s="49">
        <v>1275.0068331</v>
      </c>
      <c r="AS46" s="53">
        <f t="shared" si="40"/>
        <v>0.18398367</v>
      </c>
      <c r="AT46" s="125">
        <f t="shared" si="41"/>
        <v>0</v>
      </c>
      <c r="AU46" s="57">
        <v>40</v>
      </c>
      <c r="AV46" s="118">
        <f>VLOOKUP(B46,[4]门店奖励金额汇总!$A:$D,4,0)</f>
        <v>17</v>
      </c>
    </row>
    <row r="47" spans="1:48">
      <c r="A47" s="23">
        <v>45</v>
      </c>
      <c r="B47" s="24">
        <v>118951</v>
      </c>
      <c r="C47" s="24" t="s">
        <v>82</v>
      </c>
      <c r="D47" s="24" t="s">
        <v>69</v>
      </c>
      <c r="E47" s="123">
        <f>VLOOKUP(B47,[3]正式员工人数!$A:$C,3,0)</f>
        <v>2</v>
      </c>
      <c r="F47" s="27">
        <v>6</v>
      </c>
      <c r="G47" s="27">
        <v>100</v>
      </c>
      <c r="H47" s="28">
        <f>VLOOKUP(B47,[1]查询时间段分门店销售汇总!$D$3:$L$145,9,0)</f>
        <v>23666.21</v>
      </c>
      <c r="I47" s="28">
        <f>VLOOKUP(B47,[1]查询时间段分门店销售汇总!$D$3:$M$145,10,0)</f>
        <v>8439.84</v>
      </c>
      <c r="J47" s="32">
        <f t="shared" si="21"/>
        <v>25200</v>
      </c>
      <c r="K47" s="32">
        <f t="shared" si="22"/>
        <v>6079.6008</v>
      </c>
      <c r="L47" s="38">
        <v>8400</v>
      </c>
      <c r="M47" s="39">
        <v>2026.5336</v>
      </c>
      <c r="N47" s="40">
        <f t="shared" si="23"/>
        <v>0.241254</v>
      </c>
      <c r="O47" s="40">
        <f t="shared" si="24"/>
        <v>0.939135317460317</v>
      </c>
      <c r="P47" s="41">
        <f t="shared" si="25"/>
        <v>1.38822272672903</v>
      </c>
      <c r="Q47" s="43"/>
      <c r="R47" s="43"/>
      <c r="S47" s="43">
        <f t="shared" si="26"/>
        <v>27720</v>
      </c>
      <c r="T47" s="43">
        <f t="shared" si="27"/>
        <v>6018.804792</v>
      </c>
      <c r="U47" s="38">
        <v>9240</v>
      </c>
      <c r="V47" s="39">
        <v>2006.268264</v>
      </c>
      <c r="W47" s="40">
        <f t="shared" si="28"/>
        <v>0.2171286</v>
      </c>
      <c r="X47" s="40">
        <f t="shared" si="29"/>
        <v>0.85375937950938</v>
      </c>
      <c r="Y47" s="41">
        <f t="shared" si="30"/>
        <v>1.40224517851417</v>
      </c>
      <c r="Z47" s="43"/>
      <c r="AA47" s="43"/>
      <c r="AB47" s="47">
        <f>VLOOKUP(B47,[2]查询时间段分门店销售汇总!$D$3:$L$145,9,0)</f>
        <v>19264.61</v>
      </c>
      <c r="AC47" s="47">
        <f>VLOOKUP(B47,[2]查询时间段分门店销售汇总!$D$3:$M$145,10,0)</f>
        <v>6109.49</v>
      </c>
      <c r="AD47" s="48">
        <f t="shared" si="31"/>
        <v>22176</v>
      </c>
      <c r="AE47" s="48">
        <f t="shared" si="32"/>
        <v>6018.804792</v>
      </c>
      <c r="AF47" s="49">
        <v>5544</v>
      </c>
      <c r="AG47" s="49">
        <v>1504.701198</v>
      </c>
      <c r="AH47" s="53">
        <f t="shared" si="33"/>
        <v>0.27141075</v>
      </c>
      <c r="AI47" s="53">
        <f t="shared" si="34"/>
        <v>0.868714375901876</v>
      </c>
      <c r="AJ47" s="53">
        <f t="shared" si="35"/>
        <v>1.01506697943096</v>
      </c>
      <c r="AK47" s="48"/>
      <c r="AL47" s="48">
        <f t="shared" si="36"/>
        <v>27720</v>
      </c>
      <c r="AM47" s="48">
        <f t="shared" si="37"/>
        <v>6921.6255108</v>
      </c>
      <c r="AN47" s="54">
        <f t="shared" si="38"/>
        <v>0.694971500721501</v>
      </c>
      <c r="AO47" s="54">
        <f t="shared" si="39"/>
        <v>0.882666938635613</v>
      </c>
      <c r="AP47" s="49"/>
      <c r="AQ47" s="49">
        <v>6930</v>
      </c>
      <c r="AR47" s="49">
        <v>1730.4063777</v>
      </c>
      <c r="AS47" s="53">
        <f t="shared" si="40"/>
        <v>0.24969789</v>
      </c>
      <c r="AT47" s="125">
        <f t="shared" si="41"/>
        <v>0</v>
      </c>
      <c r="AU47" s="57">
        <v>40</v>
      </c>
      <c r="AV47" s="118">
        <f>VLOOKUP(B47,[4]门店奖励金额汇总!$A:$D,4,0)</f>
        <v>3</v>
      </c>
    </row>
    <row r="48" spans="1:49">
      <c r="A48" s="23">
        <v>46</v>
      </c>
      <c r="B48" s="24">
        <v>113025</v>
      </c>
      <c r="C48" s="24" t="s">
        <v>83</v>
      </c>
      <c r="D48" s="24" t="s">
        <v>69</v>
      </c>
      <c r="E48" s="123">
        <f>VLOOKUP(B48,[3]正式员工人数!$A:$C,3,0)</f>
        <v>2</v>
      </c>
      <c r="F48" s="27">
        <v>7</v>
      </c>
      <c r="G48" s="27">
        <v>50</v>
      </c>
      <c r="H48" s="28">
        <f>VLOOKUP(B48,[1]查询时间段分门店销售汇总!$D$3:$L$145,9,0)</f>
        <v>32664.41</v>
      </c>
      <c r="I48" s="28">
        <f>VLOOKUP(B48,[1]查询时间段分门店销售汇总!$D$3:$M$145,10,0)</f>
        <v>5165.22</v>
      </c>
      <c r="J48" s="32">
        <f t="shared" si="21"/>
        <v>24480</v>
      </c>
      <c r="K48" s="32">
        <f t="shared" si="22"/>
        <v>5172.67296</v>
      </c>
      <c r="L48" s="38">
        <v>8160</v>
      </c>
      <c r="M48" s="39">
        <v>1724.22432</v>
      </c>
      <c r="N48" s="40">
        <f t="shared" si="23"/>
        <v>0.211302</v>
      </c>
      <c r="O48" s="41">
        <f t="shared" si="24"/>
        <v>1.33433047385621</v>
      </c>
      <c r="P48" s="40">
        <f t="shared" si="25"/>
        <v>0.998559166593822</v>
      </c>
      <c r="Q48" s="43"/>
      <c r="R48" s="43"/>
      <c r="S48" s="43">
        <f t="shared" si="26"/>
        <v>26928</v>
      </c>
      <c r="T48" s="43">
        <f t="shared" si="27"/>
        <v>5120.9462304</v>
      </c>
      <c r="U48" s="38">
        <v>8976</v>
      </c>
      <c r="V48" s="39">
        <v>1706.9820768</v>
      </c>
      <c r="W48" s="40">
        <f t="shared" si="28"/>
        <v>0.1901718</v>
      </c>
      <c r="X48" s="41">
        <f t="shared" si="29"/>
        <v>1.21302770350564</v>
      </c>
      <c r="Y48" s="41">
        <f t="shared" si="30"/>
        <v>1.00864562282204</v>
      </c>
      <c r="Z48" s="43">
        <f>150*E48</f>
        <v>300</v>
      </c>
      <c r="AA48" s="43">
        <v>0</v>
      </c>
      <c r="AB48" s="47">
        <f>VLOOKUP(B48,[2]查询时间段分门店销售汇总!$D$3:$L$145,9,0)</f>
        <v>17618.97</v>
      </c>
      <c r="AC48" s="47">
        <f>VLOOKUP(B48,[2]查询时间段分门店销售汇总!$D$3:$M$145,10,0)</f>
        <v>4172.28</v>
      </c>
      <c r="AD48" s="48">
        <f t="shared" si="31"/>
        <v>21542.4</v>
      </c>
      <c r="AE48" s="48">
        <f t="shared" si="32"/>
        <v>5120.9462304</v>
      </c>
      <c r="AF48" s="49">
        <v>5385.6</v>
      </c>
      <c r="AG48" s="49">
        <v>1280.2365576</v>
      </c>
      <c r="AH48" s="53">
        <f t="shared" si="33"/>
        <v>0.23771475</v>
      </c>
      <c r="AI48" s="53">
        <f t="shared" si="34"/>
        <v>0.817874053030303</v>
      </c>
      <c r="AJ48" s="53">
        <f t="shared" si="35"/>
        <v>0.814747863438141</v>
      </c>
      <c r="AK48" s="48"/>
      <c r="AL48" s="48">
        <f t="shared" si="36"/>
        <v>26928</v>
      </c>
      <c r="AM48" s="48">
        <f t="shared" si="37"/>
        <v>5889.08816496</v>
      </c>
      <c r="AN48" s="54">
        <f t="shared" si="38"/>
        <v>0.654299242424242</v>
      </c>
      <c r="AO48" s="54">
        <f t="shared" si="39"/>
        <v>0.708476402989688</v>
      </c>
      <c r="AP48" s="49"/>
      <c r="AQ48" s="49">
        <v>6732</v>
      </c>
      <c r="AR48" s="49">
        <v>1472.27204124</v>
      </c>
      <c r="AS48" s="53">
        <f t="shared" si="40"/>
        <v>0.21869757</v>
      </c>
      <c r="AT48" s="125">
        <f t="shared" si="41"/>
        <v>300</v>
      </c>
      <c r="AU48" s="57">
        <v>40</v>
      </c>
      <c r="AV48" s="128">
        <f>VLOOKUP(B48,[4]门店奖励金额汇总!$A:$D,4,0)</f>
        <v>43</v>
      </c>
      <c r="AW48" s="76">
        <f>AV48*4</f>
        <v>172</v>
      </c>
    </row>
    <row r="49" spans="1:48">
      <c r="A49" s="23">
        <v>47</v>
      </c>
      <c r="B49" s="24">
        <v>116773</v>
      </c>
      <c r="C49" s="24" t="s">
        <v>84</v>
      </c>
      <c r="D49" s="24" t="s">
        <v>69</v>
      </c>
      <c r="E49" s="123">
        <f>VLOOKUP(B49,[3]正式员工人数!$A:$C,3,0)</f>
        <v>2</v>
      </c>
      <c r="F49" s="27">
        <v>7</v>
      </c>
      <c r="G49" s="27">
        <v>50</v>
      </c>
      <c r="H49" s="28">
        <f>VLOOKUP(B49,[1]查询时间段分门店销售汇总!$D$3:$L$145,9,0)</f>
        <v>21165.56</v>
      </c>
      <c r="I49" s="28">
        <f>VLOOKUP(B49,[1]查询时间段分门店销售汇总!$D$3:$M$145,10,0)</f>
        <v>5049.99</v>
      </c>
      <c r="J49" s="32">
        <f t="shared" si="21"/>
        <v>24000</v>
      </c>
      <c r="K49" s="32">
        <f t="shared" si="22"/>
        <v>5990.4</v>
      </c>
      <c r="L49" s="38">
        <v>8000</v>
      </c>
      <c r="M49" s="39">
        <v>1996.8</v>
      </c>
      <c r="N49" s="40">
        <f t="shared" si="23"/>
        <v>0.2496</v>
      </c>
      <c r="O49" s="40">
        <f t="shared" si="24"/>
        <v>0.881898333333333</v>
      </c>
      <c r="P49" s="40">
        <f t="shared" si="25"/>
        <v>0.843013822115385</v>
      </c>
      <c r="Q49" s="43"/>
      <c r="R49" s="43"/>
      <c r="S49" s="43">
        <f t="shared" si="26"/>
        <v>26400</v>
      </c>
      <c r="T49" s="43">
        <f t="shared" si="27"/>
        <v>5930.496</v>
      </c>
      <c r="U49" s="38">
        <v>8800</v>
      </c>
      <c r="V49" s="39">
        <v>1976.832</v>
      </c>
      <c r="W49" s="40">
        <f t="shared" si="28"/>
        <v>0.22464</v>
      </c>
      <c r="X49" s="40">
        <f t="shared" si="29"/>
        <v>0.801725757575758</v>
      </c>
      <c r="Y49" s="40">
        <f t="shared" si="30"/>
        <v>0.851529113247863</v>
      </c>
      <c r="Z49" s="43"/>
      <c r="AA49" s="43"/>
      <c r="AB49" s="47">
        <f>VLOOKUP(B49,[2]查询时间段分门店销售汇总!$D$3:$L$145,9,0)</f>
        <v>17889.75</v>
      </c>
      <c r="AC49" s="47">
        <f>VLOOKUP(B49,[2]查询时间段分门店销售汇总!$D$3:$M$145,10,0)</f>
        <v>5578.69</v>
      </c>
      <c r="AD49" s="48">
        <f t="shared" si="31"/>
        <v>21120</v>
      </c>
      <c r="AE49" s="48">
        <f t="shared" si="32"/>
        <v>5930.496</v>
      </c>
      <c r="AF49" s="49">
        <v>5280</v>
      </c>
      <c r="AG49" s="49">
        <v>1482.624</v>
      </c>
      <c r="AH49" s="53">
        <f t="shared" si="33"/>
        <v>0.2808</v>
      </c>
      <c r="AI49" s="53">
        <f t="shared" si="34"/>
        <v>0.847052556818182</v>
      </c>
      <c r="AJ49" s="53">
        <f t="shared" si="35"/>
        <v>0.940678486251403</v>
      </c>
      <c r="AK49" s="48"/>
      <c r="AL49" s="48">
        <f t="shared" si="36"/>
        <v>26400</v>
      </c>
      <c r="AM49" s="48">
        <f t="shared" si="37"/>
        <v>6820.0704</v>
      </c>
      <c r="AN49" s="54">
        <f t="shared" si="38"/>
        <v>0.677642045454545</v>
      </c>
      <c r="AO49" s="54">
        <f t="shared" si="39"/>
        <v>0.817981292392524</v>
      </c>
      <c r="AP49" s="49"/>
      <c r="AQ49" s="49">
        <v>6600</v>
      </c>
      <c r="AR49" s="49">
        <v>1705.0176</v>
      </c>
      <c r="AS49" s="53">
        <f t="shared" si="40"/>
        <v>0.258336</v>
      </c>
      <c r="AT49" s="125">
        <f t="shared" si="41"/>
        <v>0</v>
      </c>
      <c r="AU49" s="57">
        <v>40</v>
      </c>
      <c r="AV49" s="118">
        <f>VLOOKUP(B49,[4]门店奖励金额汇总!$A:$D,4,0)</f>
        <v>3</v>
      </c>
    </row>
    <row r="50" spans="1:48">
      <c r="A50" s="23">
        <v>48</v>
      </c>
      <c r="B50" s="24">
        <v>119263</v>
      </c>
      <c r="C50" s="24" t="s">
        <v>85</v>
      </c>
      <c r="D50" s="24" t="s">
        <v>69</v>
      </c>
      <c r="E50" s="123">
        <f>VLOOKUP(B50,[3]正式员工人数!$A:$C,3,0)</f>
        <v>2</v>
      </c>
      <c r="F50" s="27">
        <v>8</v>
      </c>
      <c r="G50" s="27">
        <v>50</v>
      </c>
      <c r="H50" s="28">
        <f>VLOOKUP(B50,[1]查询时间段分门店销售汇总!$D$3:$L$145,9,0)</f>
        <v>31389.46</v>
      </c>
      <c r="I50" s="28">
        <f>VLOOKUP(B50,[1]查询时间段分门店销售汇总!$D$3:$M$145,10,0)</f>
        <v>5534.78</v>
      </c>
      <c r="J50" s="32">
        <f t="shared" si="21"/>
        <v>23040</v>
      </c>
      <c r="K50" s="32">
        <f t="shared" si="22"/>
        <v>4672.512</v>
      </c>
      <c r="L50" s="38">
        <v>7680</v>
      </c>
      <c r="M50" s="39">
        <v>1557.504</v>
      </c>
      <c r="N50" s="40">
        <f t="shared" si="23"/>
        <v>0.2028</v>
      </c>
      <c r="O50" s="41">
        <f t="shared" si="24"/>
        <v>1.36238975694444</v>
      </c>
      <c r="P50" s="41">
        <f t="shared" si="25"/>
        <v>1.18454056404778</v>
      </c>
      <c r="Q50" s="43"/>
      <c r="R50" s="43"/>
      <c r="S50" s="43">
        <f t="shared" si="26"/>
        <v>25344</v>
      </c>
      <c r="T50" s="43">
        <f t="shared" si="27"/>
        <v>4625.78688</v>
      </c>
      <c r="U50" s="38">
        <v>8448</v>
      </c>
      <c r="V50" s="39">
        <v>1541.92896</v>
      </c>
      <c r="W50" s="40">
        <f t="shared" si="28"/>
        <v>0.18252</v>
      </c>
      <c r="X50" s="41">
        <f t="shared" si="29"/>
        <v>1.23853614267677</v>
      </c>
      <c r="Y50" s="41">
        <f t="shared" si="30"/>
        <v>1.19650562025028</v>
      </c>
      <c r="Z50" s="43">
        <f>150*E50</f>
        <v>300</v>
      </c>
      <c r="AA50" s="43">
        <f>(I50-K50)*0.3</f>
        <v>258.6804</v>
      </c>
      <c r="AB50" s="47">
        <f>VLOOKUP(B50,[2]查询时间段分门店销售汇总!$D$3:$L$145,9,0)</f>
        <v>20491.85</v>
      </c>
      <c r="AC50" s="47">
        <f>VLOOKUP(B50,[2]查询时间段分门店销售汇总!$D$3:$M$145,10,0)</f>
        <v>4696.41</v>
      </c>
      <c r="AD50" s="48">
        <f t="shared" si="31"/>
        <v>20275.2</v>
      </c>
      <c r="AE50" s="48">
        <f t="shared" si="32"/>
        <v>4625.78688</v>
      </c>
      <c r="AF50" s="49">
        <v>5068.8</v>
      </c>
      <c r="AG50" s="49">
        <v>1156.44672</v>
      </c>
      <c r="AH50" s="53">
        <f t="shared" si="33"/>
        <v>0.22815</v>
      </c>
      <c r="AI50" s="41">
        <f t="shared" si="34"/>
        <v>1.01068546796086</v>
      </c>
      <c r="AJ50" s="41">
        <f t="shared" si="35"/>
        <v>1.01526726626887</v>
      </c>
      <c r="AK50" s="48">
        <v>300</v>
      </c>
      <c r="AL50" s="48">
        <f t="shared" si="36"/>
        <v>25344</v>
      </c>
      <c r="AM50" s="48">
        <f t="shared" si="37"/>
        <v>5319.654912</v>
      </c>
      <c r="AN50" s="54">
        <f t="shared" si="38"/>
        <v>0.808548374368687</v>
      </c>
      <c r="AO50" s="54">
        <f t="shared" si="39"/>
        <v>0.882841101103364</v>
      </c>
      <c r="AP50" s="49"/>
      <c r="AQ50" s="49">
        <v>6336</v>
      </c>
      <c r="AR50" s="49">
        <v>1329.913728</v>
      </c>
      <c r="AS50" s="53">
        <f t="shared" si="40"/>
        <v>0.209898</v>
      </c>
      <c r="AT50" s="125">
        <f t="shared" si="41"/>
        <v>858.6804</v>
      </c>
      <c r="AU50" s="57">
        <v>40</v>
      </c>
      <c r="AV50" s="118">
        <f>VLOOKUP(B50,[4]门店奖励金额汇总!$A:$D,4,0)</f>
        <v>23</v>
      </c>
    </row>
    <row r="51" spans="1:48">
      <c r="A51" s="23">
        <v>49</v>
      </c>
      <c r="B51" s="24">
        <v>122906</v>
      </c>
      <c r="C51" s="24" t="s">
        <v>86</v>
      </c>
      <c r="D51" s="24" t="s">
        <v>69</v>
      </c>
      <c r="E51" s="123">
        <f>VLOOKUP(B51,[3]正式员工人数!$A:$C,3,0)</f>
        <v>2</v>
      </c>
      <c r="F51" s="27">
        <v>8</v>
      </c>
      <c r="G51" s="27">
        <v>50</v>
      </c>
      <c r="H51" s="28">
        <f>VLOOKUP(B51,[1]查询时间段分门店销售汇总!$D$3:$L$145,9,0)</f>
        <v>14604.51</v>
      </c>
      <c r="I51" s="28">
        <f>VLOOKUP(B51,[1]查询时间段分门店销售汇总!$D$3:$M$145,10,0)</f>
        <v>3040.67</v>
      </c>
      <c r="J51" s="32">
        <f t="shared" si="21"/>
        <v>23040</v>
      </c>
      <c r="K51" s="32">
        <f t="shared" si="22"/>
        <v>5391.36</v>
      </c>
      <c r="L51" s="38">
        <v>7680</v>
      </c>
      <c r="M51" s="39">
        <v>1797.12</v>
      </c>
      <c r="N51" s="40">
        <f t="shared" si="23"/>
        <v>0.234</v>
      </c>
      <c r="O51" s="40">
        <f t="shared" si="24"/>
        <v>0.633876302083333</v>
      </c>
      <c r="P51" s="40">
        <f t="shared" si="25"/>
        <v>0.563989420109212</v>
      </c>
      <c r="Q51" s="43"/>
      <c r="R51" s="43"/>
      <c r="S51" s="43">
        <f t="shared" si="26"/>
        <v>25344</v>
      </c>
      <c r="T51" s="43">
        <f t="shared" si="27"/>
        <v>5337.4464</v>
      </c>
      <c r="U51" s="38">
        <v>8448</v>
      </c>
      <c r="V51" s="39">
        <v>1779.1488</v>
      </c>
      <c r="W51" s="40">
        <f t="shared" si="28"/>
        <v>0.2106</v>
      </c>
      <c r="X51" s="40">
        <f t="shared" si="29"/>
        <v>0.576251183712121</v>
      </c>
      <c r="Y51" s="40">
        <f t="shared" si="30"/>
        <v>0.569686282938598</v>
      </c>
      <c r="Z51" s="43"/>
      <c r="AA51" s="43"/>
      <c r="AB51" s="47">
        <f>VLOOKUP(B51,[2]查询时间段分门店销售汇总!$D$3:$L$145,9,0)</f>
        <v>15061.8</v>
      </c>
      <c r="AC51" s="47">
        <f>VLOOKUP(B51,[2]查询时间段分门店销售汇总!$D$3:$M$145,10,0)</f>
        <v>3670.31</v>
      </c>
      <c r="AD51" s="48">
        <f t="shared" si="31"/>
        <v>20275.2</v>
      </c>
      <c r="AE51" s="48">
        <f t="shared" si="32"/>
        <v>5337.4464</v>
      </c>
      <c r="AF51" s="49">
        <v>5068.8</v>
      </c>
      <c r="AG51" s="49">
        <v>1334.3616</v>
      </c>
      <c r="AH51" s="53">
        <f t="shared" si="33"/>
        <v>0.26325</v>
      </c>
      <c r="AI51" s="53">
        <f t="shared" si="34"/>
        <v>0.742868134469697</v>
      </c>
      <c r="AJ51" s="53">
        <f t="shared" si="35"/>
        <v>0.687652807155122</v>
      </c>
      <c r="AK51" s="48"/>
      <c r="AL51" s="48">
        <f t="shared" si="36"/>
        <v>25344</v>
      </c>
      <c r="AM51" s="48">
        <f t="shared" si="37"/>
        <v>6138.06336</v>
      </c>
      <c r="AN51" s="54">
        <f t="shared" si="38"/>
        <v>0.594294507575758</v>
      </c>
      <c r="AO51" s="54">
        <f t="shared" si="39"/>
        <v>0.597958962743584</v>
      </c>
      <c r="AP51" s="49"/>
      <c r="AQ51" s="49">
        <v>6336</v>
      </c>
      <c r="AR51" s="49">
        <v>1534.51584</v>
      </c>
      <c r="AS51" s="53">
        <f t="shared" si="40"/>
        <v>0.24219</v>
      </c>
      <c r="AT51" s="125">
        <f t="shared" si="41"/>
        <v>0</v>
      </c>
      <c r="AU51" s="57">
        <v>40</v>
      </c>
      <c r="AV51" s="118">
        <f>VLOOKUP(B51,[4]门店奖励金额汇总!$A:$D,4,0)</f>
        <v>35</v>
      </c>
    </row>
    <row r="52" spans="1:48">
      <c r="A52" s="23">
        <v>50</v>
      </c>
      <c r="B52" s="24">
        <v>113298</v>
      </c>
      <c r="C52" s="24" t="s">
        <v>87</v>
      </c>
      <c r="D52" s="24" t="s">
        <v>69</v>
      </c>
      <c r="E52" s="123">
        <f>VLOOKUP(B52,[3]正式员工人数!$A:$C,3,0)</f>
        <v>1</v>
      </c>
      <c r="F52" s="27">
        <v>9</v>
      </c>
      <c r="G52" s="27">
        <v>50</v>
      </c>
      <c r="H52" s="28">
        <f>VLOOKUP(B52,[1]查询时间段分门店销售汇总!$D$3:$L$145,9,0)</f>
        <v>12165.2</v>
      </c>
      <c r="I52" s="28">
        <f>VLOOKUP(B52,[1]查询时间段分门店销售汇总!$D$3:$M$145,10,0)</f>
        <v>2002.87</v>
      </c>
      <c r="J52" s="32">
        <f t="shared" si="21"/>
        <v>21600</v>
      </c>
      <c r="K52" s="32">
        <f t="shared" si="22"/>
        <v>5507.6112</v>
      </c>
      <c r="L52" s="38">
        <v>7200</v>
      </c>
      <c r="M52" s="39">
        <v>1835.8704</v>
      </c>
      <c r="N52" s="40">
        <f t="shared" si="23"/>
        <v>0.254982</v>
      </c>
      <c r="O52" s="40">
        <f t="shared" si="24"/>
        <v>0.563203703703704</v>
      </c>
      <c r="P52" s="40">
        <f t="shared" si="25"/>
        <v>0.363654936281631</v>
      </c>
      <c r="Q52" s="43"/>
      <c r="R52" s="43"/>
      <c r="S52" s="43">
        <f t="shared" si="26"/>
        <v>23760</v>
      </c>
      <c r="T52" s="43">
        <f t="shared" si="27"/>
        <v>5452.535088</v>
      </c>
      <c r="U52" s="38">
        <v>7920</v>
      </c>
      <c r="V52" s="39">
        <v>1817.511696</v>
      </c>
      <c r="W52" s="40">
        <f t="shared" si="28"/>
        <v>0.2294838</v>
      </c>
      <c r="X52" s="40">
        <f t="shared" si="29"/>
        <v>0.512003367003367</v>
      </c>
      <c r="Y52" s="40">
        <f t="shared" si="30"/>
        <v>0.367328218466294</v>
      </c>
      <c r="Z52" s="43"/>
      <c r="AA52" s="43"/>
      <c r="AB52" s="47">
        <f>VLOOKUP(B52,[2]查询时间段分门店销售汇总!$D$3:$L$145,9,0)</f>
        <v>27895.97</v>
      </c>
      <c r="AC52" s="47">
        <f>VLOOKUP(B52,[2]查询时间段分门店销售汇总!$D$3:$M$145,10,0)</f>
        <v>5395.53</v>
      </c>
      <c r="AD52" s="48">
        <f t="shared" si="31"/>
        <v>19008</v>
      </c>
      <c r="AE52" s="48">
        <f t="shared" si="32"/>
        <v>5452.535088</v>
      </c>
      <c r="AF52" s="49">
        <v>4752</v>
      </c>
      <c r="AG52" s="49">
        <v>1363.133772</v>
      </c>
      <c r="AH52" s="53">
        <f t="shared" si="33"/>
        <v>0.28685475</v>
      </c>
      <c r="AI52" s="53">
        <f t="shared" si="34"/>
        <v>1.46759101430976</v>
      </c>
      <c r="AJ52" s="53">
        <f t="shared" si="35"/>
        <v>0.989545213908764</v>
      </c>
      <c r="AK52" s="48"/>
      <c r="AL52" s="48">
        <f t="shared" si="36"/>
        <v>23760</v>
      </c>
      <c r="AM52" s="48">
        <f t="shared" si="37"/>
        <v>6270.4153512</v>
      </c>
      <c r="AN52" s="54">
        <f t="shared" si="38"/>
        <v>1.17407281144781</v>
      </c>
      <c r="AO52" s="54">
        <f t="shared" si="39"/>
        <v>0.860474099051099</v>
      </c>
      <c r="AP52" s="49"/>
      <c r="AQ52" s="49">
        <v>5940</v>
      </c>
      <c r="AR52" s="49">
        <v>1567.6038378</v>
      </c>
      <c r="AS52" s="53">
        <f t="shared" si="40"/>
        <v>0.26390637</v>
      </c>
      <c r="AT52" s="125">
        <f t="shared" si="41"/>
        <v>0</v>
      </c>
      <c r="AU52" s="57">
        <v>40</v>
      </c>
      <c r="AV52" s="118">
        <f>VLOOKUP(B52,[4]门店奖励金额汇总!$A:$D,4,0)</f>
        <v>3</v>
      </c>
    </row>
    <row r="53" spans="1:49">
      <c r="A53" s="23">
        <v>51</v>
      </c>
      <c r="B53" s="24">
        <v>307</v>
      </c>
      <c r="C53" s="24" t="s">
        <v>88</v>
      </c>
      <c r="D53" s="24" t="s">
        <v>89</v>
      </c>
      <c r="E53" s="123">
        <f>VLOOKUP(B53,[3]正式员工人数!$A:$C,3,0)</f>
        <v>9</v>
      </c>
      <c r="F53" s="32">
        <v>1</v>
      </c>
      <c r="G53" s="32">
        <v>200</v>
      </c>
      <c r="H53" s="28">
        <f>VLOOKUP(B53,[1]查询时间段分门店销售汇总!$D$3:$L$145,9,0)</f>
        <v>377480.42</v>
      </c>
      <c r="I53" s="28">
        <f>VLOOKUP(B53,[1]查询时间段分门店销售汇总!$D$3:$M$145,10,0)</f>
        <v>46362.78</v>
      </c>
      <c r="J53" s="32">
        <f t="shared" si="21"/>
        <v>405000</v>
      </c>
      <c r="K53" s="32">
        <f t="shared" si="22"/>
        <v>72657</v>
      </c>
      <c r="L53" s="38">
        <v>135000</v>
      </c>
      <c r="M53" s="39">
        <v>24219</v>
      </c>
      <c r="N53" s="40">
        <f t="shared" si="23"/>
        <v>0.1794</v>
      </c>
      <c r="O53" s="40">
        <f t="shared" si="24"/>
        <v>0.932050419753086</v>
      </c>
      <c r="P53" s="40">
        <f t="shared" si="25"/>
        <v>0.638104793756968</v>
      </c>
      <c r="Q53" s="43"/>
      <c r="R53" s="43"/>
      <c r="S53" s="43">
        <f t="shared" si="26"/>
        <v>445500</v>
      </c>
      <c r="T53" s="43">
        <f t="shared" si="27"/>
        <v>71930.43</v>
      </c>
      <c r="U53" s="38">
        <v>148500</v>
      </c>
      <c r="V53" s="39">
        <v>23976.81</v>
      </c>
      <c r="W53" s="40">
        <f t="shared" si="28"/>
        <v>0.16146</v>
      </c>
      <c r="X53" s="40">
        <f t="shared" si="29"/>
        <v>0.847318563411897</v>
      </c>
      <c r="Y53" s="40">
        <f t="shared" si="30"/>
        <v>0.64455029672421</v>
      </c>
      <c r="Z53" s="43"/>
      <c r="AA53" s="43"/>
      <c r="AB53" s="47">
        <f>VLOOKUP(B53,[2]查询时间段分门店销售汇总!$D$3:$L$145,9,0)</f>
        <v>430575.17</v>
      </c>
      <c r="AC53" s="47">
        <f>VLOOKUP(B53,[2]查询时间段分门店销售汇总!$D$3:$M$145,10,0)</f>
        <v>56643.79</v>
      </c>
      <c r="AD53" s="48">
        <f t="shared" si="31"/>
        <v>356400</v>
      </c>
      <c r="AE53" s="48">
        <f t="shared" si="32"/>
        <v>71930.43</v>
      </c>
      <c r="AF53" s="49">
        <v>89100</v>
      </c>
      <c r="AG53" s="49">
        <v>17982.6075</v>
      </c>
      <c r="AH53" s="53">
        <f t="shared" si="33"/>
        <v>0.201825</v>
      </c>
      <c r="AI53" s="53">
        <f t="shared" si="34"/>
        <v>1.20812337261504</v>
      </c>
      <c r="AJ53" s="53">
        <f t="shared" si="35"/>
        <v>0.787480208306832</v>
      </c>
      <c r="AK53" s="48"/>
      <c r="AL53" s="48">
        <f t="shared" si="36"/>
        <v>445500</v>
      </c>
      <c r="AM53" s="48">
        <f t="shared" si="37"/>
        <v>82719.9945</v>
      </c>
      <c r="AN53" s="54">
        <f t="shared" si="38"/>
        <v>0.966498698092031</v>
      </c>
      <c r="AO53" s="54">
        <f t="shared" si="39"/>
        <v>0.68476539852768</v>
      </c>
      <c r="AP53" s="49"/>
      <c r="AQ53" s="49">
        <v>111375</v>
      </c>
      <c r="AR53" s="49">
        <v>20679.998625</v>
      </c>
      <c r="AS53" s="53">
        <f t="shared" si="40"/>
        <v>0.185679</v>
      </c>
      <c r="AT53" s="125">
        <f t="shared" si="41"/>
        <v>0</v>
      </c>
      <c r="AU53" s="57">
        <v>100</v>
      </c>
      <c r="AV53" s="128">
        <f>VLOOKUP(B53,[4]门店奖励金额汇总!$A:$D,4,0)</f>
        <v>410</v>
      </c>
      <c r="AW53" s="76">
        <f>AV53*4</f>
        <v>1640</v>
      </c>
    </row>
    <row r="54" spans="1:48">
      <c r="A54" s="23">
        <v>52</v>
      </c>
      <c r="B54" s="24">
        <v>750</v>
      </c>
      <c r="C54" s="24" t="s">
        <v>90</v>
      </c>
      <c r="D54" s="24" t="s">
        <v>89</v>
      </c>
      <c r="E54" s="123">
        <f>VLOOKUP(B54,[3]正式员工人数!$A:$C,3,0)</f>
        <v>4</v>
      </c>
      <c r="F54" s="32">
        <v>2</v>
      </c>
      <c r="G54" s="32">
        <v>200</v>
      </c>
      <c r="H54" s="28">
        <f>VLOOKUP(B54,[1]查询时间段分门店销售汇总!$D$3:$L$145,9,0)</f>
        <v>136705.5</v>
      </c>
      <c r="I54" s="28">
        <f>VLOOKUP(B54,[1]查询时间段分门店销售汇总!$D$3:$M$145,10,0)</f>
        <v>25203.02</v>
      </c>
      <c r="J54" s="32">
        <f t="shared" si="21"/>
        <v>151200</v>
      </c>
      <c r="K54" s="32">
        <f t="shared" si="22"/>
        <v>38105.1216</v>
      </c>
      <c r="L54" s="38">
        <v>50400</v>
      </c>
      <c r="M54" s="39">
        <v>12701.7072</v>
      </c>
      <c r="N54" s="40">
        <f t="shared" si="23"/>
        <v>0.252018</v>
      </c>
      <c r="O54" s="40">
        <f t="shared" si="24"/>
        <v>0.904136904761905</v>
      </c>
      <c r="P54" s="40">
        <f t="shared" si="25"/>
        <v>0.661407678069186</v>
      </c>
      <c r="Q54" s="43"/>
      <c r="R54" s="43"/>
      <c r="S54" s="43">
        <f t="shared" si="26"/>
        <v>166320</v>
      </c>
      <c r="T54" s="43">
        <f t="shared" si="27"/>
        <v>37724.070384</v>
      </c>
      <c r="U54" s="38">
        <v>55440</v>
      </c>
      <c r="V54" s="39">
        <v>12574.690128</v>
      </c>
      <c r="W54" s="40">
        <f t="shared" si="28"/>
        <v>0.2268162</v>
      </c>
      <c r="X54" s="40">
        <f t="shared" si="29"/>
        <v>0.821942640692641</v>
      </c>
      <c r="Y54" s="40">
        <f t="shared" si="30"/>
        <v>0.668088563706249</v>
      </c>
      <c r="Z54" s="43"/>
      <c r="AA54" s="43"/>
      <c r="AB54" s="47">
        <f>VLOOKUP(B54,[2]查询时间段分门店销售汇总!$D$3:$L$145,9,0)</f>
        <v>122913.46</v>
      </c>
      <c r="AC54" s="47">
        <f>VLOOKUP(B54,[2]查询时间段分门店销售汇总!$D$3:$M$145,10,0)</f>
        <v>34284.15</v>
      </c>
      <c r="AD54" s="48">
        <f t="shared" si="31"/>
        <v>133056</v>
      </c>
      <c r="AE54" s="48">
        <f t="shared" si="32"/>
        <v>37724.070384</v>
      </c>
      <c r="AF54" s="49">
        <v>33264</v>
      </c>
      <c r="AG54" s="49">
        <v>9431.017596</v>
      </c>
      <c r="AH54" s="53">
        <f t="shared" si="33"/>
        <v>0.28352025</v>
      </c>
      <c r="AI54" s="53">
        <f t="shared" si="34"/>
        <v>0.923772396584897</v>
      </c>
      <c r="AJ54" s="53">
        <f t="shared" si="35"/>
        <v>0.908813647387876</v>
      </c>
      <c r="AK54" s="48"/>
      <c r="AL54" s="48">
        <f t="shared" si="36"/>
        <v>166320</v>
      </c>
      <c r="AM54" s="48">
        <f t="shared" si="37"/>
        <v>43382.6809416</v>
      </c>
      <c r="AN54" s="54">
        <f t="shared" si="38"/>
        <v>0.739017917267917</v>
      </c>
      <c r="AO54" s="54">
        <f t="shared" si="39"/>
        <v>0.790272736859023</v>
      </c>
      <c r="AP54" s="49"/>
      <c r="AQ54" s="49">
        <v>41580</v>
      </c>
      <c r="AR54" s="49">
        <v>10845.6702354</v>
      </c>
      <c r="AS54" s="53">
        <f t="shared" si="40"/>
        <v>0.26083863</v>
      </c>
      <c r="AT54" s="125">
        <f t="shared" si="41"/>
        <v>0</v>
      </c>
      <c r="AU54" s="57">
        <v>80</v>
      </c>
      <c r="AV54" s="118">
        <f>VLOOKUP(B54,[4]门店奖励金额汇总!$A:$D,4,0)</f>
        <v>48</v>
      </c>
    </row>
    <row r="55" spans="1:49">
      <c r="A55" s="23">
        <v>53</v>
      </c>
      <c r="B55" s="24">
        <v>742</v>
      </c>
      <c r="C55" s="24" t="s">
        <v>91</v>
      </c>
      <c r="D55" s="24" t="s">
        <v>89</v>
      </c>
      <c r="E55" s="123">
        <f>VLOOKUP(B55,[3]正式员工人数!$A:$C,3,0)</f>
        <v>2</v>
      </c>
      <c r="F55" s="32">
        <v>2</v>
      </c>
      <c r="G55" s="32">
        <v>200</v>
      </c>
      <c r="H55" s="28">
        <f>VLOOKUP(B55,[1]查询时间段分门店销售汇总!$D$3:$L$145,9,0)</f>
        <v>69690.48</v>
      </c>
      <c r="I55" s="28">
        <f>VLOOKUP(B55,[1]查询时间段分门店销售汇总!$D$3:$M$145,10,0)</f>
        <v>11116.33</v>
      </c>
      <c r="J55" s="32">
        <f t="shared" si="21"/>
        <v>67500</v>
      </c>
      <c r="K55" s="32">
        <f t="shared" si="22"/>
        <v>11319.75</v>
      </c>
      <c r="L55" s="38">
        <v>22500</v>
      </c>
      <c r="M55" s="39">
        <v>3773.25</v>
      </c>
      <c r="N55" s="40">
        <f t="shared" si="23"/>
        <v>0.1677</v>
      </c>
      <c r="O55" s="41">
        <f t="shared" si="24"/>
        <v>1.03245155555556</v>
      </c>
      <c r="P55" s="40">
        <f t="shared" si="25"/>
        <v>0.982029638463747</v>
      </c>
      <c r="Q55" s="43">
        <f>E55*70</f>
        <v>140</v>
      </c>
      <c r="R55" s="43"/>
      <c r="S55" s="43">
        <f t="shared" si="26"/>
        <v>74250</v>
      </c>
      <c r="T55" s="43">
        <f t="shared" si="27"/>
        <v>11206.5525</v>
      </c>
      <c r="U55" s="38">
        <v>24750</v>
      </c>
      <c r="V55" s="39">
        <v>3735.5175</v>
      </c>
      <c r="W55" s="40">
        <f t="shared" si="28"/>
        <v>0.15093</v>
      </c>
      <c r="X55" s="40">
        <f t="shared" si="29"/>
        <v>0.938592323232323</v>
      </c>
      <c r="Y55" s="40">
        <f t="shared" si="30"/>
        <v>0.991949129761361</v>
      </c>
      <c r="Z55" s="43"/>
      <c r="AA55" s="43"/>
      <c r="AB55" s="47">
        <f>VLOOKUP(B55,[2]查询时间段分门店销售汇总!$D$3:$L$145,9,0)</f>
        <v>42227.37</v>
      </c>
      <c r="AC55" s="47">
        <f>VLOOKUP(B55,[2]查询时间段分门店销售汇总!$D$3:$M$145,10,0)</f>
        <v>11091.39</v>
      </c>
      <c r="AD55" s="48">
        <f t="shared" si="31"/>
        <v>59400</v>
      </c>
      <c r="AE55" s="48">
        <f t="shared" si="32"/>
        <v>11206.5525</v>
      </c>
      <c r="AF55" s="49">
        <v>14850</v>
      </c>
      <c r="AG55" s="49">
        <v>2801.638125</v>
      </c>
      <c r="AH55" s="53">
        <f t="shared" si="33"/>
        <v>0.1886625</v>
      </c>
      <c r="AI55" s="53">
        <f t="shared" si="34"/>
        <v>0.710898484848485</v>
      </c>
      <c r="AJ55" s="53">
        <f t="shared" si="35"/>
        <v>0.989723646054395</v>
      </c>
      <c r="AK55" s="48"/>
      <c r="AL55" s="48">
        <f t="shared" si="36"/>
        <v>74250</v>
      </c>
      <c r="AM55" s="48">
        <f t="shared" si="37"/>
        <v>12887.535375</v>
      </c>
      <c r="AN55" s="54">
        <f t="shared" si="38"/>
        <v>0.568718787878788</v>
      </c>
      <c r="AO55" s="54">
        <f t="shared" si="39"/>
        <v>0.860629257438605</v>
      </c>
      <c r="AP55" s="49"/>
      <c r="AQ55" s="49">
        <v>18562.5</v>
      </c>
      <c r="AR55" s="49">
        <v>3221.88384375</v>
      </c>
      <c r="AS55" s="53">
        <f t="shared" si="40"/>
        <v>0.1735695</v>
      </c>
      <c r="AT55" s="125">
        <f t="shared" si="41"/>
        <v>140</v>
      </c>
      <c r="AU55" s="57">
        <v>30</v>
      </c>
      <c r="AV55" s="128">
        <f>VLOOKUP(B55,[4]门店奖励金额汇总!$A:$D,4,0)</f>
        <v>31</v>
      </c>
      <c r="AW55" s="76">
        <f>AV55*4</f>
        <v>124</v>
      </c>
    </row>
    <row r="56" spans="1:48">
      <c r="A56" s="23">
        <v>54</v>
      </c>
      <c r="B56" s="24">
        <v>106066</v>
      </c>
      <c r="C56" s="24" t="s">
        <v>92</v>
      </c>
      <c r="D56" s="24" t="s">
        <v>89</v>
      </c>
      <c r="E56" s="123">
        <f>VLOOKUP(B56,[3]正式员工人数!$A:$C,3,0)</f>
        <v>2</v>
      </c>
      <c r="F56" s="32">
        <v>3</v>
      </c>
      <c r="G56" s="32">
        <v>100</v>
      </c>
      <c r="H56" s="28">
        <f>VLOOKUP(B56,[1]查询时间段分门店销售汇总!$D$3:$L$145,9,0)</f>
        <v>42845.21</v>
      </c>
      <c r="I56" s="28">
        <f>VLOOKUP(B56,[1]查询时间段分门店销售汇总!$D$3:$M$145,10,0)</f>
        <v>14171.84</v>
      </c>
      <c r="J56" s="32">
        <f t="shared" si="21"/>
        <v>48750</v>
      </c>
      <c r="K56" s="32">
        <f t="shared" si="22"/>
        <v>13681.395</v>
      </c>
      <c r="L56" s="38">
        <v>16250</v>
      </c>
      <c r="M56" s="39">
        <v>4560.465</v>
      </c>
      <c r="N56" s="40">
        <f t="shared" si="23"/>
        <v>0.280644</v>
      </c>
      <c r="O56" s="40">
        <f t="shared" si="24"/>
        <v>0.878876102564103</v>
      </c>
      <c r="P56" s="41">
        <f t="shared" si="25"/>
        <v>1.03584758717952</v>
      </c>
      <c r="Q56" s="43"/>
      <c r="R56" s="43"/>
      <c r="S56" s="43">
        <f t="shared" si="26"/>
        <v>53625</v>
      </c>
      <c r="T56" s="43">
        <f t="shared" si="27"/>
        <v>13544.58105</v>
      </c>
      <c r="U56" s="38">
        <v>17875</v>
      </c>
      <c r="V56" s="39">
        <v>4514.86035</v>
      </c>
      <c r="W56" s="40">
        <f t="shared" si="28"/>
        <v>0.2525796</v>
      </c>
      <c r="X56" s="40">
        <f t="shared" si="29"/>
        <v>0.798978275058275</v>
      </c>
      <c r="Y56" s="41">
        <f t="shared" si="30"/>
        <v>1.04631069412073</v>
      </c>
      <c r="Z56" s="43"/>
      <c r="AA56" s="43"/>
      <c r="AB56" s="47">
        <f>VLOOKUP(B56,[2]查询时间段分门店销售汇总!$D$3:$L$145,9,0)</f>
        <v>37116.09</v>
      </c>
      <c r="AC56" s="47">
        <f>VLOOKUP(B56,[2]查询时间段分门店销售汇总!$D$3:$M$145,10,0)</f>
        <v>12659.6</v>
      </c>
      <c r="AD56" s="48">
        <f t="shared" si="31"/>
        <v>42900</v>
      </c>
      <c r="AE56" s="48">
        <f t="shared" si="32"/>
        <v>13544.58105</v>
      </c>
      <c r="AF56" s="49">
        <v>10725</v>
      </c>
      <c r="AG56" s="49">
        <v>3386.1452625</v>
      </c>
      <c r="AH56" s="53">
        <f t="shared" si="33"/>
        <v>0.3157245</v>
      </c>
      <c r="AI56" s="53">
        <f t="shared" si="34"/>
        <v>0.865176923076923</v>
      </c>
      <c r="AJ56" s="53">
        <f t="shared" si="35"/>
        <v>0.934661615096615</v>
      </c>
      <c r="AK56" s="48"/>
      <c r="AL56" s="48">
        <f t="shared" si="36"/>
        <v>53625</v>
      </c>
      <c r="AM56" s="48">
        <f t="shared" si="37"/>
        <v>15576.2682075</v>
      </c>
      <c r="AN56" s="54">
        <f t="shared" si="38"/>
        <v>0.692141538461538</v>
      </c>
      <c r="AO56" s="54">
        <f t="shared" si="39"/>
        <v>0.812749230518795</v>
      </c>
      <c r="AP56" s="49"/>
      <c r="AQ56" s="49">
        <v>13406.25</v>
      </c>
      <c r="AR56" s="49">
        <v>3894.067051875</v>
      </c>
      <c r="AS56" s="53">
        <f t="shared" si="40"/>
        <v>0.29046654</v>
      </c>
      <c r="AT56" s="125">
        <f t="shared" si="41"/>
        <v>0</v>
      </c>
      <c r="AU56" s="57">
        <v>50</v>
      </c>
      <c r="AV56" s="118">
        <f>VLOOKUP(B56,[4]门店奖励金额汇总!$A:$D,4,0)</f>
        <v>30</v>
      </c>
    </row>
    <row r="57" spans="1:49">
      <c r="A57" s="23">
        <v>55</v>
      </c>
      <c r="B57" s="24">
        <v>106485</v>
      </c>
      <c r="C57" s="24" t="s">
        <v>93</v>
      </c>
      <c r="D57" s="24" t="s">
        <v>89</v>
      </c>
      <c r="E57" s="123">
        <f>VLOOKUP(B57,[3]正式员工人数!$A:$C,3,0)</f>
        <v>2</v>
      </c>
      <c r="F57" s="32">
        <v>3</v>
      </c>
      <c r="G57" s="32">
        <v>100</v>
      </c>
      <c r="H57" s="28">
        <f>VLOOKUP(B57,[1]查询时间段分门店销售汇总!$D$3:$L$145,9,0)</f>
        <v>34744.58</v>
      </c>
      <c r="I57" s="28">
        <f>VLOOKUP(B57,[1]查询时间段分门店销售汇总!$D$3:$M$145,10,0)</f>
        <v>6943.49</v>
      </c>
      <c r="J57" s="32">
        <f t="shared" si="21"/>
        <v>39600</v>
      </c>
      <c r="K57" s="32">
        <f t="shared" si="22"/>
        <v>7654.0464</v>
      </c>
      <c r="L57" s="38">
        <v>13200</v>
      </c>
      <c r="M57" s="39">
        <v>2551.3488</v>
      </c>
      <c r="N57" s="40">
        <f t="shared" si="23"/>
        <v>0.193284</v>
      </c>
      <c r="O57" s="40">
        <f t="shared" si="24"/>
        <v>0.877388383838384</v>
      </c>
      <c r="P57" s="40">
        <f t="shared" si="25"/>
        <v>0.907165914228061</v>
      </c>
      <c r="Q57" s="43"/>
      <c r="R57" s="43"/>
      <c r="S57" s="43">
        <f t="shared" si="26"/>
        <v>43560</v>
      </c>
      <c r="T57" s="43">
        <f t="shared" si="27"/>
        <v>7577.505936</v>
      </c>
      <c r="U57" s="38">
        <v>14520</v>
      </c>
      <c r="V57" s="39">
        <v>2525.835312</v>
      </c>
      <c r="W57" s="40">
        <f t="shared" si="28"/>
        <v>0.1739556</v>
      </c>
      <c r="X57" s="40">
        <f t="shared" si="29"/>
        <v>0.79762580348944</v>
      </c>
      <c r="Y57" s="40">
        <f t="shared" si="30"/>
        <v>0.916329206290971</v>
      </c>
      <c r="Z57" s="43"/>
      <c r="AA57" s="43"/>
      <c r="AB57" s="47">
        <f>VLOOKUP(B57,[2]查询时间段分门店销售汇总!$D$3:$L$145,9,0)</f>
        <v>23096.35</v>
      </c>
      <c r="AC57" s="47">
        <f>VLOOKUP(B57,[2]查询时间段分门店销售汇总!$D$3:$M$145,10,0)</f>
        <v>4578.59</v>
      </c>
      <c r="AD57" s="48">
        <f t="shared" si="31"/>
        <v>34848</v>
      </c>
      <c r="AE57" s="48">
        <f t="shared" si="32"/>
        <v>7577.505936</v>
      </c>
      <c r="AF57" s="49">
        <v>8712</v>
      </c>
      <c r="AG57" s="49">
        <v>1894.376484</v>
      </c>
      <c r="AH57" s="53">
        <f t="shared" si="33"/>
        <v>0.2174445</v>
      </c>
      <c r="AI57" s="53">
        <f t="shared" si="34"/>
        <v>0.662774047291093</v>
      </c>
      <c r="AJ57" s="53">
        <f t="shared" si="35"/>
        <v>0.604234432631397</v>
      </c>
      <c r="AK57" s="48"/>
      <c r="AL57" s="48">
        <f t="shared" si="36"/>
        <v>43560</v>
      </c>
      <c r="AM57" s="48">
        <f t="shared" si="37"/>
        <v>8714.1318264</v>
      </c>
      <c r="AN57" s="54">
        <f t="shared" si="38"/>
        <v>0.530219237832874</v>
      </c>
      <c r="AO57" s="54">
        <f t="shared" si="39"/>
        <v>0.525421245766432</v>
      </c>
      <c r="AP57" s="49"/>
      <c r="AQ57" s="49">
        <v>10890</v>
      </c>
      <c r="AR57" s="49">
        <v>2178.5329566</v>
      </c>
      <c r="AS57" s="53">
        <f t="shared" si="40"/>
        <v>0.20004894</v>
      </c>
      <c r="AT57" s="125">
        <f t="shared" si="41"/>
        <v>0</v>
      </c>
      <c r="AU57" s="57">
        <v>50</v>
      </c>
      <c r="AV57" s="128">
        <f>VLOOKUP(B57,[4]门店奖励金额汇总!$A:$D,4,0)</f>
        <v>70</v>
      </c>
      <c r="AW57" s="76">
        <f>AV57*4</f>
        <v>280</v>
      </c>
    </row>
    <row r="58" spans="1:48">
      <c r="A58" s="23">
        <v>56</v>
      </c>
      <c r="B58" s="24">
        <v>106865</v>
      </c>
      <c r="C58" s="24" t="s">
        <v>94</v>
      </c>
      <c r="D58" s="24" t="s">
        <v>89</v>
      </c>
      <c r="E58" s="123">
        <f>VLOOKUP(B58,[3]正式员工人数!$A:$C,3,0)</f>
        <v>2</v>
      </c>
      <c r="F58" s="32">
        <v>4</v>
      </c>
      <c r="G58" s="32">
        <v>100</v>
      </c>
      <c r="H58" s="28">
        <f>VLOOKUP(B58,[1]查询时间段分门店销售汇总!$D$3:$L$145,9,0)</f>
        <v>22107.07</v>
      </c>
      <c r="I58" s="28">
        <f>VLOOKUP(B58,[1]查询时间段分门店销售汇总!$D$3:$M$145,10,0)</f>
        <v>5834.27</v>
      </c>
      <c r="J58" s="32">
        <f t="shared" si="21"/>
        <v>32760</v>
      </c>
      <c r="K58" s="32">
        <f t="shared" si="22"/>
        <v>7361.76168</v>
      </c>
      <c r="L58" s="38">
        <v>10920</v>
      </c>
      <c r="M58" s="39">
        <v>2453.92056</v>
      </c>
      <c r="N58" s="40">
        <f t="shared" si="23"/>
        <v>0.224718</v>
      </c>
      <c r="O58" s="40">
        <f t="shared" si="24"/>
        <v>0.674818986568987</v>
      </c>
      <c r="P58" s="40">
        <f t="shared" si="25"/>
        <v>0.792510034092818</v>
      </c>
      <c r="Q58" s="43"/>
      <c r="R58" s="43"/>
      <c r="S58" s="43">
        <f t="shared" si="26"/>
        <v>36036</v>
      </c>
      <c r="T58" s="43">
        <f t="shared" si="27"/>
        <v>7288.1440632</v>
      </c>
      <c r="U58" s="38">
        <v>12012</v>
      </c>
      <c r="V58" s="39">
        <v>2429.3813544</v>
      </c>
      <c r="W58" s="40">
        <f t="shared" si="28"/>
        <v>0.2022462</v>
      </c>
      <c r="X58" s="40">
        <f t="shared" si="29"/>
        <v>0.613471805971806</v>
      </c>
      <c r="Y58" s="40">
        <f t="shared" si="30"/>
        <v>0.800515185952341</v>
      </c>
      <c r="Z58" s="43"/>
      <c r="AA58" s="43"/>
      <c r="AB58" s="47">
        <f>VLOOKUP(B58,[2]查询时间段分门店销售汇总!$D$3:$L$145,9,0)</f>
        <v>30556.04</v>
      </c>
      <c r="AC58" s="47">
        <f>VLOOKUP(B58,[2]查询时间段分门店销售汇总!$D$3:$M$145,10,0)</f>
        <v>7072.4</v>
      </c>
      <c r="AD58" s="48">
        <f t="shared" si="31"/>
        <v>28828.8</v>
      </c>
      <c r="AE58" s="48">
        <f t="shared" si="32"/>
        <v>7288.1440632</v>
      </c>
      <c r="AF58" s="49">
        <v>7207.2</v>
      </c>
      <c r="AG58" s="49">
        <v>1822.0360158</v>
      </c>
      <c r="AH58" s="53">
        <f t="shared" si="33"/>
        <v>0.25280775</v>
      </c>
      <c r="AI58" s="53">
        <f t="shared" si="34"/>
        <v>1.0599136974137</v>
      </c>
      <c r="AJ58" s="53">
        <f t="shared" si="35"/>
        <v>0.970397942009769</v>
      </c>
      <c r="AK58" s="48"/>
      <c r="AL58" s="48">
        <f t="shared" si="36"/>
        <v>36036</v>
      </c>
      <c r="AM58" s="48">
        <f t="shared" si="37"/>
        <v>8381.36567268</v>
      </c>
      <c r="AN58" s="54">
        <f t="shared" si="38"/>
        <v>0.847930957930958</v>
      </c>
      <c r="AO58" s="54">
        <f t="shared" si="39"/>
        <v>0.8438242973998</v>
      </c>
      <c r="AP58" s="49"/>
      <c r="AQ58" s="49">
        <v>9009</v>
      </c>
      <c r="AR58" s="49">
        <v>2095.34141817</v>
      </c>
      <c r="AS58" s="53">
        <f t="shared" si="40"/>
        <v>0.23258313</v>
      </c>
      <c r="AT58" s="125">
        <f t="shared" si="41"/>
        <v>0</v>
      </c>
      <c r="AU58" s="57">
        <v>50</v>
      </c>
      <c r="AV58" s="118">
        <f>VLOOKUP(B58,[4]门店奖励金额汇总!$A:$D,4,0)</f>
        <v>40</v>
      </c>
    </row>
    <row r="59" spans="1:48">
      <c r="A59" s="23">
        <v>57</v>
      </c>
      <c r="B59" s="24">
        <v>102935</v>
      </c>
      <c r="C59" s="24" t="s">
        <v>95</v>
      </c>
      <c r="D59" s="24" t="s">
        <v>89</v>
      </c>
      <c r="E59" s="123">
        <f>VLOOKUP(B59,[3]正式员工人数!$A:$C,3,0)</f>
        <v>2</v>
      </c>
      <c r="F59" s="32">
        <v>4</v>
      </c>
      <c r="G59" s="32">
        <v>100</v>
      </c>
      <c r="H59" s="28">
        <f>VLOOKUP(B59,[1]查询时间段分门店销售汇总!$D$3:$L$145,9,0)</f>
        <v>32700.67</v>
      </c>
      <c r="I59" s="28">
        <f>VLOOKUP(B59,[1]查询时间段分门店销售汇总!$D$3:$M$145,10,0)</f>
        <v>8155.08</v>
      </c>
      <c r="J59" s="32">
        <f t="shared" si="21"/>
        <v>32400</v>
      </c>
      <c r="K59" s="32">
        <f t="shared" si="22"/>
        <v>9560.3976</v>
      </c>
      <c r="L59" s="38">
        <v>10800</v>
      </c>
      <c r="M59" s="39">
        <v>3186.7992</v>
      </c>
      <c r="N59" s="40">
        <f t="shared" si="23"/>
        <v>0.295074</v>
      </c>
      <c r="O59" s="41">
        <f t="shared" si="24"/>
        <v>1.0092799382716</v>
      </c>
      <c r="P59" s="40">
        <f t="shared" si="25"/>
        <v>0.853006364505175</v>
      </c>
      <c r="Q59" s="43">
        <f>E59*70</f>
        <v>140</v>
      </c>
      <c r="R59" s="43"/>
      <c r="S59" s="43">
        <f t="shared" si="26"/>
        <v>35640</v>
      </c>
      <c r="T59" s="43">
        <f t="shared" si="27"/>
        <v>9464.793624</v>
      </c>
      <c r="U59" s="38">
        <v>11880</v>
      </c>
      <c r="V59" s="39">
        <v>3154.931208</v>
      </c>
      <c r="W59" s="40">
        <f t="shared" si="28"/>
        <v>0.2655666</v>
      </c>
      <c r="X59" s="40">
        <f t="shared" si="29"/>
        <v>0.91752721661055</v>
      </c>
      <c r="Y59" s="40">
        <f t="shared" si="30"/>
        <v>0.861622590409268</v>
      </c>
      <c r="Z59" s="43"/>
      <c r="AA59" s="43"/>
      <c r="AB59" s="47">
        <f>VLOOKUP(B59,[2]查询时间段分门店销售汇总!$D$3:$L$145,9,0)</f>
        <v>23487.83</v>
      </c>
      <c r="AC59" s="47">
        <f>VLOOKUP(B59,[2]查询时间段分门店销售汇总!$D$3:$M$145,10,0)</f>
        <v>5339.09</v>
      </c>
      <c r="AD59" s="48">
        <f t="shared" si="31"/>
        <v>28512</v>
      </c>
      <c r="AE59" s="48">
        <f t="shared" si="32"/>
        <v>9464.793624</v>
      </c>
      <c r="AF59" s="49">
        <v>7128</v>
      </c>
      <c r="AG59" s="49">
        <v>2366.198406</v>
      </c>
      <c r="AH59" s="53">
        <f t="shared" si="33"/>
        <v>0.33195825</v>
      </c>
      <c r="AI59" s="53">
        <f t="shared" si="34"/>
        <v>0.823787528058361</v>
      </c>
      <c r="AJ59" s="53">
        <f t="shared" si="35"/>
        <v>0.564099991199132</v>
      </c>
      <c r="AK59" s="48"/>
      <c r="AL59" s="48">
        <f t="shared" si="36"/>
        <v>35640</v>
      </c>
      <c r="AM59" s="48">
        <f t="shared" si="37"/>
        <v>10884.5126676</v>
      </c>
      <c r="AN59" s="54">
        <f t="shared" si="38"/>
        <v>0.659030022446689</v>
      </c>
      <c r="AO59" s="54">
        <f t="shared" si="39"/>
        <v>0.490521731477506</v>
      </c>
      <c r="AP59" s="49"/>
      <c r="AQ59" s="49">
        <v>8910</v>
      </c>
      <c r="AR59" s="49">
        <v>2721.1281669</v>
      </c>
      <c r="AS59" s="53">
        <f t="shared" si="40"/>
        <v>0.30540159</v>
      </c>
      <c r="AT59" s="125">
        <f t="shared" si="41"/>
        <v>140</v>
      </c>
      <c r="AU59" s="57">
        <v>40</v>
      </c>
      <c r="AV59" s="118">
        <f>VLOOKUP(B59,[4]门店奖励金额汇总!$A:$D,4,0)</f>
        <v>33</v>
      </c>
    </row>
    <row r="60" spans="1:49">
      <c r="A60" s="23">
        <v>58</v>
      </c>
      <c r="B60" s="24">
        <v>116919</v>
      </c>
      <c r="C60" s="24" t="s">
        <v>96</v>
      </c>
      <c r="D60" s="24" t="s">
        <v>89</v>
      </c>
      <c r="E60" s="123">
        <f>VLOOKUP(B60,[3]正式员工人数!$A:$C,3,0)</f>
        <v>2</v>
      </c>
      <c r="F60" s="32">
        <v>4</v>
      </c>
      <c r="G60" s="32">
        <v>100</v>
      </c>
      <c r="H60" s="28">
        <f>VLOOKUP(B60,[1]查询时间段分门店销售汇总!$D$3:$L$145,9,0)</f>
        <v>31580.52</v>
      </c>
      <c r="I60" s="28">
        <f>VLOOKUP(B60,[1]查询时间段分门店销售汇总!$D$3:$M$145,10,0)</f>
        <v>8844.17</v>
      </c>
      <c r="J60" s="32">
        <f t="shared" si="21"/>
        <v>32400</v>
      </c>
      <c r="K60" s="32">
        <f t="shared" si="22"/>
        <v>8339.76</v>
      </c>
      <c r="L60" s="38">
        <v>10800</v>
      </c>
      <c r="M60" s="39">
        <v>2779.92</v>
      </c>
      <c r="N60" s="40">
        <f t="shared" si="23"/>
        <v>0.2574</v>
      </c>
      <c r="O60" s="40">
        <f t="shared" si="24"/>
        <v>0.974707407407407</v>
      </c>
      <c r="P60" s="41">
        <f t="shared" si="25"/>
        <v>1.06048255585293</v>
      </c>
      <c r="Q60" s="43"/>
      <c r="R60" s="43"/>
      <c r="S60" s="43">
        <f t="shared" si="26"/>
        <v>35640</v>
      </c>
      <c r="T60" s="43">
        <f t="shared" si="27"/>
        <v>8256.3624</v>
      </c>
      <c r="U60" s="38">
        <v>11880</v>
      </c>
      <c r="V60" s="39">
        <v>2752.1208</v>
      </c>
      <c r="W60" s="40">
        <f t="shared" si="28"/>
        <v>0.23166</v>
      </c>
      <c r="X60" s="40">
        <f t="shared" si="29"/>
        <v>0.886097643097643</v>
      </c>
      <c r="Y60" s="41">
        <f t="shared" si="30"/>
        <v>1.07119450086154</v>
      </c>
      <c r="Z60" s="43"/>
      <c r="AA60" s="43"/>
      <c r="AB60" s="47">
        <f>VLOOKUP(B60,[2]查询时间段分门店销售汇总!$D$3:$L$145,9,0)</f>
        <v>24254.45</v>
      </c>
      <c r="AC60" s="47">
        <f>VLOOKUP(B60,[2]查询时间段分门店销售汇总!$D$3:$M$145,10,0)</f>
        <v>5271.32</v>
      </c>
      <c r="AD60" s="48">
        <f t="shared" si="31"/>
        <v>28512</v>
      </c>
      <c r="AE60" s="48">
        <f t="shared" si="32"/>
        <v>8256.3624</v>
      </c>
      <c r="AF60" s="49">
        <v>7128</v>
      </c>
      <c r="AG60" s="49">
        <v>2064.0906</v>
      </c>
      <c r="AH60" s="53">
        <f t="shared" si="33"/>
        <v>0.289575</v>
      </c>
      <c r="AI60" s="53">
        <f t="shared" si="34"/>
        <v>0.850675154320988</v>
      </c>
      <c r="AJ60" s="53">
        <f t="shared" si="35"/>
        <v>0.63845550190481</v>
      </c>
      <c r="AK60" s="48"/>
      <c r="AL60" s="48">
        <f t="shared" si="36"/>
        <v>35640</v>
      </c>
      <c r="AM60" s="48">
        <f t="shared" si="37"/>
        <v>9494.81676</v>
      </c>
      <c r="AN60" s="54">
        <f t="shared" si="38"/>
        <v>0.68054012345679</v>
      </c>
      <c r="AO60" s="54">
        <f t="shared" si="39"/>
        <v>0.55517869730853</v>
      </c>
      <c r="AP60" s="49"/>
      <c r="AQ60" s="49">
        <v>8910</v>
      </c>
      <c r="AR60" s="49">
        <v>2373.70419</v>
      </c>
      <c r="AS60" s="53">
        <f t="shared" si="40"/>
        <v>0.266409</v>
      </c>
      <c r="AT60" s="125">
        <f t="shared" si="41"/>
        <v>0</v>
      </c>
      <c r="AU60" s="57">
        <v>40</v>
      </c>
      <c r="AV60" s="128">
        <f>VLOOKUP(B60,[4]门店奖励金额汇总!$A:$D,4,0)</f>
        <v>40</v>
      </c>
      <c r="AW60" s="76">
        <f>AV60*4</f>
        <v>160</v>
      </c>
    </row>
    <row r="61" spans="1:48">
      <c r="A61" s="23">
        <v>59</v>
      </c>
      <c r="B61" s="24">
        <v>587</v>
      </c>
      <c r="C61" s="24" t="s">
        <v>97</v>
      </c>
      <c r="D61" s="24" t="s">
        <v>98</v>
      </c>
      <c r="E61" s="123">
        <f>VLOOKUP(B61,[3]正式员工人数!$A:$C,3,0)</f>
        <v>2</v>
      </c>
      <c r="F61" s="27">
        <v>1</v>
      </c>
      <c r="G61" s="27">
        <v>150</v>
      </c>
      <c r="H61" s="28">
        <f>VLOOKUP(B61,[1]查询时间段分门店销售汇总!$D$3:$L$145,9,0)</f>
        <v>42974.9</v>
      </c>
      <c r="I61" s="28">
        <f>VLOOKUP(B61,[1]查询时间段分门店销售汇总!$D$3:$M$145,10,0)</f>
        <v>11818.45</v>
      </c>
      <c r="J61" s="32">
        <f t="shared" si="21"/>
        <v>41160</v>
      </c>
      <c r="K61" s="32">
        <f t="shared" si="22"/>
        <v>9300.76056</v>
      </c>
      <c r="L61" s="38">
        <v>13720</v>
      </c>
      <c r="M61" s="39">
        <v>3100.25352</v>
      </c>
      <c r="N61" s="40">
        <f t="shared" si="23"/>
        <v>0.225966</v>
      </c>
      <c r="O61" s="41">
        <f t="shared" si="24"/>
        <v>1.04409378036929</v>
      </c>
      <c r="P61" s="41">
        <f t="shared" si="25"/>
        <v>1.27069715683553</v>
      </c>
      <c r="Q61" s="43">
        <f>E61*70</f>
        <v>140</v>
      </c>
      <c r="R61" s="43">
        <f>(I61-K61)*0.2</f>
        <v>503.537888</v>
      </c>
      <c r="S61" s="43">
        <f t="shared" si="26"/>
        <v>45276</v>
      </c>
      <c r="T61" s="43">
        <f t="shared" si="27"/>
        <v>9207.7529544</v>
      </c>
      <c r="U61" s="38">
        <v>15092</v>
      </c>
      <c r="V61" s="39">
        <v>3069.2509848</v>
      </c>
      <c r="W61" s="40">
        <f t="shared" si="28"/>
        <v>0.2033694</v>
      </c>
      <c r="X61" s="40">
        <f t="shared" si="29"/>
        <v>0.949176163972082</v>
      </c>
      <c r="Y61" s="41">
        <f t="shared" si="30"/>
        <v>1.28353248165205</v>
      </c>
      <c r="Z61" s="43"/>
      <c r="AA61" s="43"/>
      <c r="AB61" s="47">
        <f>VLOOKUP(B61,[2]查询时间段分门店销售汇总!$D$3:$L$145,9,0)</f>
        <v>23008.62</v>
      </c>
      <c r="AC61" s="47">
        <f>VLOOKUP(B61,[2]查询时间段分门店销售汇总!$D$3:$M$145,10,0)</f>
        <v>5878.86</v>
      </c>
      <c r="AD61" s="48">
        <f t="shared" si="31"/>
        <v>36220.8</v>
      </c>
      <c r="AE61" s="48">
        <f t="shared" si="32"/>
        <v>9207.7529544</v>
      </c>
      <c r="AF61" s="49">
        <v>9055.2</v>
      </c>
      <c r="AG61" s="49">
        <v>2301.9382386</v>
      </c>
      <c r="AH61" s="53">
        <f t="shared" si="33"/>
        <v>0.25421175</v>
      </c>
      <c r="AI61" s="53">
        <f t="shared" si="34"/>
        <v>0.635232242247548</v>
      </c>
      <c r="AJ61" s="53">
        <f t="shared" si="35"/>
        <v>0.638468476414839</v>
      </c>
      <c r="AK61" s="48"/>
      <c r="AL61" s="48">
        <f t="shared" si="36"/>
        <v>45276</v>
      </c>
      <c r="AM61" s="48">
        <f t="shared" si="37"/>
        <v>10588.91589756</v>
      </c>
      <c r="AN61" s="54">
        <f t="shared" si="38"/>
        <v>0.508185793798039</v>
      </c>
      <c r="AO61" s="54">
        <f t="shared" si="39"/>
        <v>0.555189979491164</v>
      </c>
      <c r="AP61" s="49"/>
      <c r="AQ61" s="49">
        <v>11319</v>
      </c>
      <c r="AR61" s="49">
        <v>2647.22897439</v>
      </c>
      <c r="AS61" s="53">
        <f t="shared" si="40"/>
        <v>0.23387481</v>
      </c>
      <c r="AT61" s="125">
        <f t="shared" si="41"/>
        <v>643.537888</v>
      </c>
      <c r="AU61" s="57">
        <v>50</v>
      </c>
      <c r="AV61" s="118">
        <f>VLOOKUP(B61,[4]门店奖励金额汇总!$A:$D,4,0)</f>
        <v>20</v>
      </c>
    </row>
    <row r="62" spans="1:48">
      <c r="A62" s="23">
        <v>60</v>
      </c>
      <c r="B62" s="24">
        <v>704</v>
      </c>
      <c r="C62" s="24" t="s">
        <v>99</v>
      </c>
      <c r="D62" s="24" t="s">
        <v>98</v>
      </c>
      <c r="E62" s="123">
        <f>VLOOKUP(B62,[3]正式员工人数!$A:$C,3,0)</f>
        <v>2</v>
      </c>
      <c r="F62" s="27">
        <v>1</v>
      </c>
      <c r="G62" s="27">
        <v>150</v>
      </c>
      <c r="H62" s="28">
        <f>VLOOKUP(B62,[1]查询时间段分门店销售汇总!$D$3:$L$145,9,0)</f>
        <v>34938.96</v>
      </c>
      <c r="I62" s="28">
        <f>VLOOKUP(B62,[1]查询时间段分门店销售汇总!$D$3:$M$145,10,0)</f>
        <v>10462.41</v>
      </c>
      <c r="J62" s="32">
        <f t="shared" si="21"/>
        <v>34440</v>
      </c>
      <c r="K62" s="32">
        <f t="shared" si="22"/>
        <v>8029.41048</v>
      </c>
      <c r="L62" s="38">
        <v>11480</v>
      </c>
      <c r="M62" s="39">
        <v>2676.47016</v>
      </c>
      <c r="N62" s="40">
        <f t="shared" si="23"/>
        <v>0.233142</v>
      </c>
      <c r="O62" s="41">
        <f t="shared" si="24"/>
        <v>1.01448780487805</v>
      </c>
      <c r="P62" s="41">
        <f t="shared" si="25"/>
        <v>1.30301097771253</v>
      </c>
      <c r="Q62" s="43">
        <f>E62*70</f>
        <v>140</v>
      </c>
      <c r="R62" s="43">
        <f>(I62-K62)*0.2</f>
        <v>486.599904</v>
      </c>
      <c r="S62" s="43">
        <f t="shared" si="26"/>
        <v>37884</v>
      </c>
      <c r="T62" s="43">
        <f t="shared" si="27"/>
        <v>7949.1163752</v>
      </c>
      <c r="U62" s="38">
        <v>12628</v>
      </c>
      <c r="V62" s="39">
        <v>2649.7054584</v>
      </c>
      <c r="W62" s="40">
        <f t="shared" si="28"/>
        <v>0.2098278</v>
      </c>
      <c r="X62" s="40">
        <f t="shared" si="29"/>
        <v>0.922261640798226</v>
      </c>
      <c r="Y62" s="41">
        <f t="shared" si="30"/>
        <v>1.31617270476013</v>
      </c>
      <c r="Z62" s="43"/>
      <c r="AA62" s="43"/>
      <c r="AB62" s="47">
        <f>VLOOKUP(B62,[2]查询时间段分门店销售汇总!$D$3:$L$145,9,0)</f>
        <v>19651.86</v>
      </c>
      <c r="AC62" s="47">
        <f>VLOOKUP(B62,[2]查询时间段分门店销售汇总!$D$3:$M$145,10,0)</f>
        <v>4586.06</v>
      </c>
      <c r="AD62" s="48">
        <f t="shared" si="31"/>
        <v>30307.2</v>
      </c>
      <c r="AE62" s="48">
        <f t="shared" si="32"/>
        <v>7949.1163752</v>
      </c>
      <c r="AF62" s="49">
        <v>7576.8</v>
      </c>
      <c r="AG62" s="49">
        <v>1987.2790938</v>
      </c>
      <c r="AH62" s="53">
        <f t="shared" si="33"/>
        <v>0.26228475</v>
      </c>
      <c r="AI62" s="53">
        <f t="shared" si="34"/>
        <v>0.648422157111181</v>
      </c>
      <c r="AJ62" s="53">
        <f t="shared" si="35"/>
        <v>0.576927017235248</v>
      </c>
      <c r="AK62" s="48"/>
      <c r="AL62" s="48">
        <f t="shared" si="36"/>
        <v>37884</v>
      </c>
      <c r="AM62" s="48">
        <f t="shared" si="37"/>
        <v>9141.48383148</v>
      </c>
      <c r="AN62" s="54">
        <f t="shared" si="38"/>
        <v>0.518737725688945</v>
      </c>
      <c r="AO62" s="54">
        <f t="shared" si="39"/>
        <v>0.501675667161085</v>
      </c>
      <c r="AP62" s="49"/>
      <c r="AQ62" s="49">
        <v>9471</v>
      </c>
      <c r="AR62" s="49">
        <v>2285.37095787</v>
      </c>
      <c r="AS62" s="53">
        <f t="shared" si="40"/>
        <v>0.24130197</v>
      </c>
      <c r="AT62" s="125">
        <f t="shared" si="41"/>
        <v>626.599904</v>
      </c>
      <c r="AU62" s="57">
        <v>40</v>
      </c>
      <c r="AV62" s="118">
        <f>VLOOKUP(B62,[4]门店奖励金额汇总!$A:$D,4,0)</f>
        <v>10</v>
      </c>
    </row>
    <row r="63" spans="1:48">
      <c r="A63" s="23">
        <v>61</v>
      </c>
      <c r="B63" s="24">
        <v>738</v>
      </c>
      <c r="C63" s="24" t="s">
        <v>100</v>
      </c>
      <c r="D63" s="24" t="s">
        <v>98</v>
      </c>
      <c r="E63" s="123">
        <f>VLOOKUP(B63,[3]正式员工人数!$A:$C,3,0)</f>
        <v>2</v>
      </c>
      <c r="F63" s="27">
        <v>2</v>
      </c>
      <c r="G63" s="27">
        <v>100</v>
      </c>
      <c r="H63" s="28">
        <f>VLOOKUP(B63,[1]查询时间段分门店销售汇总!$D$3:$L$145,9,0)</f>
        <v>34254.06</v>
      </c>
      <c r="I63" s="28">
        <f>VLOOKUP(B63,[1]查询时间段分门店销售汇总!$D$3:$M$145,10,0)</f>
        <v>8320.66</v>
      </c>
      <c r="J63" s="32">
        <f t="shared" si="21"/>
        <v>33600</v>
      </c>
      <c r="K63" s="32">
        <f t="shared" si="22"/>
        <v>8043.2352</v>
      </c>
      <c r="L63" s="38">
        <v>11200</v>
      </c>
      <c r="M63" s="39">
        <v>2681.0784</v>
      </c>
      <c r="N63" s="40">
        <f t="shared" si="23"/>
        <v>0.239382</v>
      </c>
      <c r="O63" s="41">
        <f t="shared" si="24"/>
        <v>1.01946607142857</v>
      </c>
      <c r="P63" s="41">
        <f t="shared" si="25"/>
        <v>1.03449169309384</v>
      </c>
      <c r="Q63" s="43">
        <f>E63*70</f>
        <v>140</v>
      </c>
      <c r="R63" s="43">
        <f>(I63-K63)*0.2</f>
        <v>55.48496</v>
      </c>
      <c r="S63" s="43">
        <f t="shared" si="26"/>
        <v>36960</v>
      </c>
      <c r="T63" s="43">
        <f t="shared" si="27"/>
        <v>7962.802848</v>
      </c>
      <c r="U63" s="38">
        <v>12320</v>
      </c>
      <c r="V63" s="39">
        <v>2654.267616</v>
      </c>
      <c r="W63" s="40">
        <f t="shared" si="28"/>
        <v>0.2154438</v>
      </c>
      <c r="X63" s="40">
        <f t="shared" si="29"/>
        <v>0.926787337662338</v>
      </c>
      <c r="Y63" s="41">
        <f t="shared" si="30"/>
        <v>1.0449411041352</v>
      </c>
      <c r="Z63" s="43"/>
      <c r="AA63" s="43"/>
      <c r="AB63" s="47">
        <f>VLOOKUP(B63,[2]查询时间段分门店销售汇总!$D$3:$L$145,9,0)</f>
        <v>23803.44</v>
      </c>
      <c r="AC63" s="47">
        <f>VLOOKUP(B63,[2]查询时间段分门店销售汇总!$D$3:$M$145,10,0)</f>
        <v>7263.92</v>
      </c>
      <c r="AD63" s="48">
        <f t="shared" si="31"/>
        <v>29568</v>
      </c>
      <c r="AE63" s="48">
        <f t="shared" si="32"/>
        <v>7962.802848</v>
      </c>
      <c r="AF63" s="49">
        <v>7392</v>
      </c>
      <c r="AG63" s="49">
        <v>1990.700712</v>
      </c>
      <c r="AH63" s="53">
        <f t="shared" si="33"/>
        <v>0.26930475</v>
      </c>
      <c r="AI63" s="53">
        <f t="shared" si="34"/>
        <v>0.805040584415584</v>
      </c>
      <c r="AJ63" s="53">
        <f t="shared" si="35"/>
        <v>0.912231551962192</v>
      </c>
      <c r="AK63" s="48"/>
      <c r="AL63" s="48">
        <f t="shared" si="36"/>
        <v>36960</v>
      </c>
      <c r="AM63" s="48">
        <f t="shared" si="37"/>
        <v>9157.2232752</v>
      </c>
      <c r="AN63" s="54">
        <f t="shared" si="38"/>
        <v>0.644032467532467</v>
      </c>
      <c r="AO63" s="54">
        <f t="shared" si="39"/>
        <v>0.79324482779321</v>
      </c>
      <c r="AP63" s="49"/>
      <c r="AQ63" s="49">
        <v>9240</v>
      </c>
      <c r="AR63" s="49">
        <v>2289.3058188</v>
      </c>
      <c r="AS63" s="53">
        <f t="shared" si="40"/>
        <v>0.24776037</v>
      </c>
      <c r="AT63" s="125">
        <f t="shared" si="41"/>
        <v>195.48496</v>
      </c>
      <c r="AU63" s="57">
        <v>40</v>
      </c>
      <c r="AV63" s="118">
        <f>VLOOKUP(B63,[4]门店奖励金额汇总!$A:$D,4,0)</f>
        <v>20</v>
      </c>
    </row>
    <row r="64" spans="1:48">
      <c r="A64" s="23">
        <v>62</v>
      </c>
      <c r="B64" s="24">
        <v>710</v>
      </c>
      <c r="C64" s="24" t="s">
        <v>101</v>
      </c>
      <c r="D64" s="24" t="s">
        <v>98</v>
      </c>
      <c r="E64" s="123">
        <f>VLOOKUP(B64,[3]正式员工人数!$A:$C,3,0)</f>
        <v>2</v>
      </c>
      <c r="F64" s="27">
        <v>2</v>
      </c>
      <c r="G64" s="27">
        <v>100</v>
      </c>
      <c r="H64" s="28">
        <f>VLOOKUP(B64,[1]查询时间段分门店销售汇总!$D$3:$L$145,9,0)</f>
        <v>28357.84</v>
      </c>
      <c r="I64" s="28">
        <f>VLOOKUP(B64,[1]查询时间段分门店销售汇总!$D$3:$M$145,10,0)</f>
        <v>6603.73</v>
      </c>
      <c r="J64" s="32">
        <f t="shared" si="21"/>
        <v>31920</v>
      </c>
      <c r="K64" s="32">
        <f t="shared" si="22"/>
        <v>8831.17872</v>
      </c>
      <c r="L64" s="38">
        <v>10640</v>
      </c>
      <c r="M64" s="39">
        <v>2943.72624</v>
      </c>
      <c r="N64" s="40">
        <f t="shared" si="23"/>
        <v>0.276666</v>
      </c>
      <c r="O64" s="40">
        <f t="shared" si="24"/>
        <v>0.88840350877193</v>
      </c>
      <c r="P64" s="40">
        <f t="shared" si="25"/>
        <v>0.747774471492068</v>
      </c>
      <c r="Q64" s="43"/>
      <c r="R64" s="43"/>
      <c r="S64" s="43">
        <f t="shared" si="26"/>
        <v>35112</v>
      </c>
      <c r="T64" s="43">
        <f t="shared" si="27"/>
        <v>8742.8669328</v>
      </c>
      <c r="U64" s="38">
        <v>11704</v>
      </c>
      <c r="V64" s="39">
        <v>2914.2889776</v>
      </c>
      <c r="W64" s="40">
        <f t="shared" si="28"/>
        <v>0.2489994</v>
      </c>
      <c r="X64" s="40">
        <f t="shared" si="29"/>
        <v>0.807639553429027</v>
      </c>
      <c r="Y64" s="40">
        <f t="shared" si="30"/>
        <v>0.755327748981887</v>
      </c>
      <c r="Z64" s="43"/>
      <c r="AA64" s="43"/>
      <c r="AB64" s="47">
        <f>VLOOKUP(B64,[2]查询时间段分门店销售汇总!$D$3:$L$145,9,0)</f>
        <v>22469.1</v>
      </c>
      <c r="AC64" s="47">
        <f>VLOOKUP(B64,[2]查询时间段分门店销售汇总!$D$3:$M$145,10,0)</f>
        <v>7370.78</v>
      </c>
      <c r="AD64" s="48">
        <f t="shared" si="31"/>
        <v>28089.6</v>
      </c>
      <c r="AE64" s="48">
        <f t="shared" si="32"/>
        <v>8742.8669328</v>
      </c>
      <c r="AF64" s="49">
        <v>7022.4</v>
      </c>
      <c r="AG64" s="49">
        <v>2185.7167332</v>
      </c>
      <c r="AH64" s="53">
        <f t="shared" si="33"/>
        <v>0.31124925</v>
      </c>
      <c r="AI64" s="53">
        <f t="shared" si="34"/>
        <v>0.799908151059467</v>
      </c>
      <c r="AJ64" s="53">
        <f t="shared" si="35"/>
        <v>0.843062127864209</v>
      </c>
      <c r="AK64" s="48"/>
      <c r="AL64" s="48">
        <f t="shared" si="36"/>
        <v>35112</v>
      </c>
      <c r="AM64" s="48">
        <f t="shared" si="37"/>
        <v>10054.29697272</v>
      </c>
      <c r="AN64" s="54">
        <f t="shared" si="38"/>
        <v>0.639926520847573</v>
      </c>
      <c r="AO64" s="54">
        <f t="shared" si="39"/>
        <v>0.733097502490617</v>
      </c>
      <c r="AP64" s="49"/>
      <c r="AQ64" s="49">
        <v>8778</v>
      </c>
      <c r="AR64" s="49">
        <v>2513.57424318</v>
      </c>
      <c r="AS64" s="53">
        <f t="shared" si="40"/>
        <v>0.28634931</v>
      </c>
      <c r="AT64" s="125">
        <f t="shared" si="41"/>
        <v>0</v>
      </c>
      <c r="AU64" s="57">
        <v>40</v>
      </c>
      <c r="AV64" s="118">
        <f>VLOOKUP(B64,[4]门店奖励金额汇总!$A:$D,4,0)</f>
        <v>31</v>
      </c>
    </row>
    <row r="65" spans="1:49">
      <c r="A65" s="23">
        <v>63</v>
      </c>
      <c r="B65" s="24">
        <v>706</v>
      </c>
      <c r="C65" s="24" t="s">
        <v>102</v>
      </c>
      <c r="D65" s="24" t="s">
        <v>98</v>
      </c>
      <c r="E65" s="123">
        <f>VLOOKUP(B65,[3]正式员工人数!$A:$C,3,0)</f>
        <v>3</v>
      </c>
      <c r="F65" s="27">
        <v>3</v>
      </c>
      <c r="G65" s="27">
        <v>100</v>
      </c>
      <c r="H65" s="28">
        <f>VLOOKUP(B65,[1]查询时间段分门店销售汇总!$D$3:$L$145,9,0)</f>
        <v>34200.43</v>
      </c>
      <c r="I65" s="28">
        <f>VLOOKUP(B65,[1]查询时间段分门店销售汇总!$D$3:$M$145,10,0)</f>
        <v>6135.01</v>
      </c>
      <c r="J65" s="32">
        <f t="shared" si="21"/>
        <v>31080</v>
      </c>
      <c r="K65" s="32">
        <f t="shared" si="22"/>
        <v>7973.32536</v>
      </c>
      <c r="L65" s="38">
        <v>10360</v>
      </c>
      <c r="M65" s="39">
        <v>2657.77512</v>
      </c>
      <c r="N65" s="40">
        <f t="shared" si="23"/>
        <v>0.256542</v>
      </c>
      <c r="O65" s="41">
        <f t="shared" si="24"/>
        <v>1.10039993564994</v>
      </c>
      <c r="P65" s="40">
        <f t="shared" si="25"/>
        <v>0.769441822953529</v>
      </c>
      <c r="Q65" s="43"/>
      <c r="R65" s="43"/>
      <c r="S65" s="43">
        <f t="shared" si="26"/>
        <v>34188</v>
      </c>
      <c r="T65" s="43">
        <f t="shared" si="27"/>
        <v>7893.5921064</v>
      </c>
      <c r="U65" s="38">
        <v>11396</v>
      </c>
      <c r="V65" s="39">
        <v>2631.1973688</v>
      </c>
      <c r="W65" s="40">
        <f t="shared" si="28"/>
        <v>0.2308878</v>
      </c>
      <c r="X65" s="41">
        <f t="shared" si="29"/>
        <v>1.00036357786358</v>
      </c>
      <c r="Y65" s="40">
        <f t="shared" si="30"/>
        <v>0.777213962579322</v>
      </c>
      <c r="Z65" s="43">
        <f>150*E65</f>
        <v>450</v>
      </c>
      <c r="AA65" s="43"/>
      <c r="AB65" s="47">
        <f>VLOOKUP(B65,[2]查询时间段分门店销售汇总!$D$3:$L$145,9,0)</f>
        <v>20419.38</v>
      </c>
      <c r="AC65" s="47">
        <f>VLOOKUP(B65,[2]查询时间段分门店销售汇总!$D$3:$M$145,10,0)</f>
        <v>4524.56</v>
      </c>
      <c r="AD65" s="48">
        <f t="shared" si="31"/>
        <v>27350.4</v>
      </c>
      <c r="AE65" s="48">
        <f t="shared" si="32"/>
        <v>7893.5921064</v>
      </c>
      <c r="AF65" s="49">
        <v>6837.6</v>
      </c>
      <c r="AG65" s="49">
        <v>1973.3980266</v>
      </c>
      <c r="AH65" s="53">
        <f t="shared" si="33"/>
        <v>0.28860975</v>
      </c>
      <c r="AI65" s="53">
        <f t="shared" si="34"/>
        <v>0.746584327834328</v>
      </c>
      <c r="AJ65" s="53">
        <f t="shared" si="35"/>
        <v>0.57319404638752</v>
      </c>
      <c r="AK65" s="48"/>
      <c r="AL65" s="48">
        <f t="shared" si="36"/>
        <v>34188</v>
      </c>
      <c r="AM65" s="48">
        <f t="shared" si="37"/>
        <v>9077.63092236</v>
      </c>
      <c r="AN65" s="54">
        <f t="shared" si="38"/>
        <v>0.597267462267462</v>
      </c>
      <c r="AO65" s="54">
        <f t="shared" si="39"/>
        <v>0.498429605554365</v>
      </c>
      <c r="AP65" s="49"/>
      <c r="AQ65" s="49">
        <v>8547</v>
      </c>
      <c r="AR65" s="49">
        <v>2269.40773059</v>
      </c>
      <c r="AS65" s="53">
        <f t="shared" si="40"/>
        <v>0.26552097</v>
      </c>
      <c r="AT65" s="125">
        <f t="shared" si="41"/>
        <v>450</v>
      </c>
      <c r="AU65" s="57">
        <v>40</v>
      </c>
      <c r="AV65" s="128">
        <f>VLOOKUP(B65,[4]门店奖励金额汇总!$A:$D,4,0)</f>
        <v>41</v>
      </c>
      <c r="AW65" s="76">
        <f>AV65*4</f>
        <v>164</v>
      </c>
    </row>
    <row r="66" spans="1:48">
      <c r="A66" s="23">
        <v>64</v>
      </c>
      <c r="B66" s="24">
        <v>351</v>
      </c>
      <c r="C66" s="24" t="s">
        <v>103</v>
      </c>
      <c r="D66" s="24" t="s">
        <v>98</v>
      </c>
      <c r="E66" s="123">
        <f>VLOOKUP(B66,[3]正式员工人数!$A:$C,3,0)</f>
        <v>3</v>
      </c>
      <c r="F66" s="27">
        <v>3</v>
      </c>
      <c r="G66" s="27">
        <v>100</v>
      </c>
      <c r="H66" s="28">
        <f>VLOOKUP(B66,[1]查询时间段分门店销售汇总!$D$3:$L$145,9,0)</f>
        <v>32363.42</v>
      </c>
      <c r="I66" s="28">
        <f>VLOOKUP(B66,[1]查询时间段分门店销售汇总!$D$3:$M$145,10,0)</f>
        <v>6222.42</v>
      </c>
      <c r="J66" s="32">
        <f t="shared" si="21"/>
        <v>29400</v>
      </c>
      <c r="K66" s="32">
        <f t="shared" si="22"/>
        <v>6973.6212</v>
      </c>
      <c r="L66" s="38">
        <v>9800</v>
      </c>
      <c r="M66" s="39">
        <v>2324.5404</v>
      </c>
      <c r="N66" s="40">
        <f t="shared" si="23"/>
        <v>0.237198</v>
      </c>
      <c r="O66" s="41">
        <f t="shared" si="24"/>
        <v>1.10079659863946</v>
      </c>
      <c r="P66" s="40">
        <f t="shared" si="25"/>
        <v>0.892279609336968</v>
      </c>
      <c r="Q66" s="43"/>
      <c r="R66" s="43"/>
      <c r="S66" s="43">
        <f t="shared" si="26"/>
        <v>32340</v>
      </c>
      <c r="T66" s="43">
        <f t="shared" si="27"/>
        <v>6903.884988</v>
      </c>
      <c r="U66" s="38">
        <v>10780</v>
      </c>
      <c r="V66" s="39">
        <v>2301.294996</v>
      </c>
      <c r="W66" s="40">
        <f t="shared" si="28"/>
        <v>0.2134782</v>
      </c>
      <c r="X66" s="41">
        <f t="shared" si="29"/>
        <v>1.00072418058132</v>
      </c>
      <c r="Y66" s="40">
        <f t="shared" si="30"/>
        <v>0.901292534683806</v>
      </c>
      <c r="Z66" s="43">
        <f>150*E66</f>
        <v>450</v>
      </c>
      <c r="AA66" s="43"/>
      <c r="AB66" s="47">
        <f>VLOOKUP(B66,[2]查询时间段分门店销售汇总!$D$3:$L$145,9,0)</f>
        <v>14891.1</v>
      </c>
      <c r="AC66" s="47">
        <f>VLOOKUP(B66,[2]查询时间段分门店销售汇总!$D$3:$M$145,10,0)</f>
        <v>3060.6</v>
      </c>
      <c r="AD66" s="48">
        <f t="shared" si="31"/>
        <v>25872</v>
      </c>
      <c r="AE66" s="48">
        <f t="shared" si="32"/>
        <v>6903.884988</v>
      </c>
      <c r="AF66" s="49">
        <v>6468</v>
      </c>
      <c r="AG66" s="49">
        <v>1725.971247</v>
      </c>
      <c r="AH66" s="53">
        <f t="shared" si="33"/>
        <v>0.26684775</v>
      </c>
      <c r="AI66" s="53">
        <f t="shared" si="34"/>
        <v>0.575568181818182</v>
      </c>
      <c r="AJ66" s="53">
        <f t="shared" si="35"/>
        <v>0.443315612198029</v>
      </c>
      <c r="AK66" s="48"/>
      <c r="AL66" s="48">
        <f t="shared" si="36"/>
        <v>32340</v>
      </c>
      <c r="AM66" s="48">
        <f t="shared" si="37"/>
        <v>7939.4677362</v>
      </c>
      <c r="AN66" s="54">
        <f t="shared" si="38"/>
        <v>0.460454545454545</v>
      </c>
      <c r="AO66" s="54">
        <f t="shared" si="39"/>
        <v>0.385491836693938</v>
      </c>
      <c r="AP66" s="49"/>
      <c r="AQ66" s="49">
        <v>8085</v>
      </c>
      <c r="AR66" s="49">
        <v>1984.86693405</v>
      </c>
      <c r="AS66" s="53">
        <f t="shared" si="40"/>
        <v>0.24549993</v>
      </c>
      <c r="AT66" s="125">
        <f t="shared" si="41"/>
        <v>450</v>
      </c>
      <c r="AU66" s="57">
        <v>40</v>
      </c>
      <c r="AV66" s="118">
        <f>VLOOKUP(B66,[4]门店奖励金额汇总!$A:$D,4,0)</f>
        <v>20</v>
      </c>
    </row>
    <row r="67" spans="1:48">
      <c r="A67" s="23">
        <v>65</v>
      </c>
      <c r="B67" s="24">
        <v>713</v>
      </c>
      <c r="C67" s="24" t="s">
        <v>104</v>
      </c>
      <c r="D67" s="24" t="s">
        <v>98</v>
      </c>
      <c r="E67" s="123">
        <f>VLOOKUP(B67,[3]正式员工人数!$A:$C,3,0)</f>
        <v>2</v>
      </c>
      <c r="F67" s="27">
        <v>4</v>
      </c>
      <c r="G67" s="27">
        <v>100</v>
      </c>
      <c r="H67" s="28">
        <f>VLOOKUP(B67,[1]查询时间段分门店销售汇总!$D$3:$L$145,9,0)</f>
        <v>29106.26</v>
      </c>
      <c r="I67" s="28">
        <f>VLOOKUP(B67,[1]查询时间段分门店销售汇总!$D$3:$M$145,10,0)</f>
        <v>6419.79</v>
      </c>
      <c r="J67" s="32">
        <f t="shared" si="21"/>
        <v>28560</v>
      </c>
      <c r="K67" s="32">
        <f t="shared" si="22"/>
        <v>6772.1472</v>
      </c>
      <c r="L67" s="38">
        <v>9520</v>
      </c>
      <c r="M67" s="39">
        <v>2257.3824</v>
      </c>
      <c r="N67" s="40">
        <f t="shared" si="23"/>
        <v>0.23712</v>
      </c>
      <c r="O67" s="41">
        <f t="shared" si="24"/>
        <v>1.01912675070028</v>
      </c>
      <c r="P67" s="40">
        <f t="shared" si="25"/>
        <v>0.94796964838567</v>
      </c>
      <c r="Q67" s="43">
        <f>E67*70</f>
        <v>140</v>
      </c>
      <c r="R67" s="43"/>
      <c r="S67" s="43">
        <f t="shared" si="26"/>
        <v>31416</v>
      </c>
      <c r="T67" s="43">
        <f t="shared" si="27"/>
        <v>6704.425728</v>
      </c>
      <c r="U67" s="38">
        <v>10472</v>
      </c>
      <c r="V67" s="39">
        <v>2234.808576</v>
      </c>
      <c r="W67" s="40">
        <f t="shared" si="28"/>
        <v>0.213408</v>
      </c>
      <c r="X67" s="40">
        <f t="shared" si="29"/>
        <v>0.926478864272982</v>
      </c>
      <c r="Y67" s="40">
        <f t="shared" si="30"/>
        <v>0.957545099379465</v>
      </c>
      <c r="Z67" s="43"/>
      <c r="AA67" s="43"/>
      <c r="AB67" s="47">
        <f>VLOOKUP(B67,[2]查询时间段分门店销售汇总!$D$3:$L$145,9,0)</f>
        <v>22255.72</v>
      </c>
      <c r="AC67" s="47">
        <f>VLOOKUP(B67,[2]查询时间段分门店销售汇总!$D$3:$M$145,10,0)</f>
        <v>4068.51</v>
      </c>
      <c r="AD67" s="48">
        <f t="shared" si="31"/>
        <v>25132.8</v>
      </c>
      <c r="AE67" s="48">
        <f t="shared" si="32"/>
        <v>6704.425728</v>
      </c>
      <c r="AF67" s="49">
        <v>6283.2</v>
      </c>
      <c r="AG67" s="49">
        <v>1676.106432</v>
      </c>
      <c r="AH67" s="53">
        <f t="shared" si="33"/>
        <v>0.26676</v>
      </c>
      <c r="AI67" s="53">
        <f t="shared" si="34"/>
        <v>0.885524891774892</v>
      </c>
      <c r="AJ67" s="53">
        <f t="shared" si="35"/>
        <v>0.606839446816227</v>
      </c>
      <c r="AK67" s="48"/>
      <c r="AL67" s="48">
        <f t="shared" si="36"/>
        <v>31416</v>
      </c>
      <c r="AM67" s="48">
        <f t="shared" si="37"/>
        <v>7710.0895872</v>
      </c>
      <c r="AN67" s="54">
        <f t="shared" si="38"/>
        <v>0.708419913419914</v>
      </c>
      <c r="AO67" s="54">
        <f t="shared" si="39"/>
        <v>0.527686475492371</v>
      </c>
      <c r="AP67" s="49"/>
      <c r="AQ67" s="49">
        <v>7854</v>
      </c>
      <c r="AR67" s="49">
        <v>1927.5223968</v>
      </c>
      <c r="AS67" s="53">
        <f t="shared" si="40"/>
        <v>0.2454192</v>
      </c>
      <c r="AT67" s="125">
        <f t="shared" si="41"/>
        <v>140</v>
      </c>
      <c r="AU67" s="57">
        <v>40</v>
      </c>
      <c r="AV67" s="118">
        <f>VLOOKUP(B67,[4]门店奖励金额汇总!$A:$D,4,0)</f>
        <v>30</v>
      </c>
    </row>
    <row r="68" spans="1:48">
      <c r="A68" s="23">
        <v>66</v>
      </c>
      <c r="B68" s="24">
        <v>110378</v>
      </c>
      <c r="C68" s="24" t="s">
        <v>105</v>
      </c>
      <c r="D68" s="24" t="s">
        <v>98</v>
      </c>
      <c r="E68" s="123">
        <f>VLOOKUP(B68,[3]正式员工人数!$A:$C,3,0)</f>
        <v>2</v>
      </c>
      <c r="F68" s="27">
        <v>4</v>
      </c>
      <c r="G68" s="27">
        <v>100</v>
      </c>
      <c r="H68" s="28">
        <f>VLOOKUP(B68,[1]查询时间段分门店销售汇总!$D$3:$L$145,9,0)</f>
        <v>26457.38</v>
      </c>
      <c r="I68" s="28">
        <f>VLOOKUP(B68,[1]查询时间段分门店销售汇总!$D$3:$M$145,10,0)</f>
        <v>5512.48</v>
      </c>
      <c r="J68" s="32">
        <f t="shared" ref="J68:J99" si="42">L68*3</f>
        <v>26040</v>
      </c>
      <c r="K68" s="32">
        <f t="shared" ref="K68:K99" si="43">M68*3</f>
        <v>5553.08208</v>
      </c>
      <c r="L68" s="38">
        <v>8680</v>
      </c>
      <c r="M68" s="39">
        <v>1851.02736</v>
      </c>
      <c r="N68" s="40">
        <f t="shared" ref="N68:N99" si="44">M68/L68</f>
        <v>0.213252</v>
      </c>
      <c r="O68" s="41">
        <f t="shared" ref="O68:O99" si="45">H68/J68</f>
        <v>1.01602841781874</v>
      </c>
      <c r="P68" s="40">
        <f t="shared" ref="P68:P99" si="46">I68/K68</f>
        <v>0.992688370275269</v>
      </c>
      <c r="Q68" s="43">
        <f>E68*70</f>
        <v>140</v>
      </c>
      <c r="R68" s="43"/>
      <c r="S68" s="43">
        <f t="shared" ref="S68:S99" si="47">U68*3</f>
        <v>28644</v>
      </c>
      <c r="T68" s="43">
        <f t="shared" ref="T68:T99" si="48">V68*3</f>
        <v>5497.5512592</v>
      </c>
      <c r="U68" s="38">
        <v>9548</v>
      </c>
      <c r="V68" s="39">
        <v>1832.5170864</v>
      </c>
      <c r="W68" s="40">
        <f t="shared" ref="W68:W99" si="49">V68/U68</f>
        <v>0.1919268</v>
      </c>
      <c r="X68" s="40">
        <f t="shared" ref="X68:X99" si="50">H68/S68</f>
        <v>0.923662198017037</v>
      </c>
      <c r="Y68" s="41">
        <f t="shared" ref="Y68:Y99" si="51">I68/T68</f>
        <v>1.00271552553057</v>
      </c>
      <c r="Z68" s="43"/>
      <c r="AA68" s="43"/>
      <c r="AB68" s="47">
        <f>VLOOKUP(B68,[2]查询时间段分门店销售汇总!$D$3:$L$145,9,0)</f>
        <v>19211.65</v>
      </c>
      <c r="AC68" s="47">
        <f>VLOOKUP(B68,[2]查询时间段分门店销售汇总!$D$3:$M$145,10,0)</f>
        <v>4936.74</v>
      </c>
      <c r="AD68" s="48">
        <f t="shared" ref="AD68:AD99" si="52">AF68*4</f>
        <v>22915.2</v>
      </c>
      <c r="AE68" s="48">
        <f t="shared" ref="AE68:AE99" si="53">AG68*4</f>
        <v>5497.5512592</v>
      </c>
      <c r="AF68" s="49">
        <v>5728.8</v>
      </c>
      <c r="AG68" s="49">
        <v>1374.3878148</v>
      </c>
      <c r="AH68" s="53">
        <f t="shared" ref="AH68:AH99" si="54">AG68/AF68</f>
        <v>0.2399085</v>
      </c>
      <c r="AI68" s="53">
        <f t="shared" ref="AI68:AI99" si="55">AB68/AD68</f>
        <v>0.83838020178746</v>
      </c>
      <c r="AJ68" s="53">
        <f t="shared" ref="AJ68:AJ99" si="56">AC68/AE68</f>
        <v>0.897988898555244</v>
      </c>
      <c r="AK68" s="48"/>
      <c r="AL68" s="48">
        <f t="shared" ref="AL68:AL99" si="57">AQ68*4</f>
        <v>28644</v>
      </c>
      <c r="AM68" s="48">
        <f t="shared" ref="AM68:AM99" si="58">AR68*4</f>
        <v>6322.18394808</v>
      </c>
      <c r="AN68" s="54">
        <f t="shared" ref="AN68:AN99" si="59">AB68/AL68</f>
        <v>0.670704161429968</v>
      </c>
      <c r="AO68" s="54">
        <f t="shared" ref="AO68:AO99" si="60">AC68/AM68</f>
        <v>0.780859911787168</v>
      </c>
      <c r="AP68" s="49"/>
      <c r="AQ68" s="49">
        <v>7161</v>
      </c>
      <c r="AR68" s="49">
        <v>1580.54598702</v>
      </c>
      <c r="AS68" s="53">
        <f t="shared" ref="AS68:AS99" si="61">AR68/AQ68</f>
        <v>0.22071582</v>
      </c>
      <c r="AT68" s="125">
        <f t="shared" ref="AT68:AT99" si="62">Q68+R68+Z68+AA68+AK68+AP68</f>
        <v>140</v>
      </c>
      <c r="AU68" s="57">
        <v>40</v>
      </c>
      <c r="AV68" s="118">
        <f>VLOOKUP(B68,[4]门店奖励金额汇总!$A:$D,4,0)</f>
        <v>23</v>
      </c>
    </row>
    <row r="69" spans="1:48">
      <c r="A69" s="23">
        <v>67</v>
      </c>
      <c r="B69" s="24">
        <v>571</v>
      </c>
      <c r="C69" s="24" t="s">
        <v>106</v>
      </c>
      <c r="D69" s="24" t="s">
        <v>107</v>
      </c>
      <c r="E69" s="123">
        <f>VLOOKUP(B69,[3]正式员工人数!$A:$C,3,0)</f>
        <v>2</v>
      </c>
      <c r="F69" s="32">
        <v>1</v>
      </c>
      <c r="G69" s="32">
        <v>200</v>
      </c>
      <c r="H69" s="28">
        <f>VLOOKUP(B69,[1]查询时间段分门店销售汇总!$D$3:$L$145,9,0)</f>
        <v>75956.92</v>
      </c>
      <c r="I69" s="28">
        <f>VLOOKUP(B69,[1]查询时间段分门店销售汇总!$D$3:$M$145,10,0)</f>
        <v>12350.09</v>
      </c>
      <c r="J69" s="32">
        <f t="shared" si="42"/>
        <v>82800</v>
      </c>
      <c r="K69" s="32">
        <f t="shared" si="43"/>
        <v>18083.52</v>
      </c>
      <c r="L69" s="38">
        <v>27600</v>
      </c>
      <c r="M69" s="39">
        <v>6027.84</v>
      </c>
      <c r="N69" s="40">
        <f t="shared" si="44"/>
        <v>0.2184</v>
      </c>
      <c r="O69" s="40">
        <f t="shared" si="45"/>
        <v>0.917354106280193</v>
      </c>
      <c r="P69" s="40">
        <f t="shared" si="46"/>
        <v>0.682947235936366</v>
      </c>
      <c r="Q69" s="43"/>
      <c r="R69" s="43"/>
      <c r="S69" s="43">
        <f t="shared" si="47"/>
        <v>91080</v>
      </c>
      <c r="T69" s="43">
        <f t="shared" si="48"/>
        <v>17902.6848</v>
      </c>
      <c r="U69" s="38">
        <v>30360</v>
      </c>
      <c r="V69" s="39">
        <v>5967.5616</v>
      </c>
      <c r="W69" s="40">
        <f t="shared" si="49"/>
        <v>0.19656</v>
      </c>
      <c r="X69" s="40">
        <f t="shared" si="50"/>
        <v>0.833958278436539</v>
      </c>
      <c r="Y69" s="40">
        <f t="shared" si="51"/>
        <v>0.689845692865017</v>
      </c>
      <c r="Z69" s="43"/>
      <c r="AA69" s="43"/>
      <c r="AB69" s="47">
        <f>VLOOKUP(B69,[2]查询时间段分门店销售汇总!$D$3:$L$145,9,0)</f>
        <v>72176.09</v>
      </c>
      <c r="AC69" s="47">
        <f>VLOOKUP(B69,[2]查询时间段分门店销售汇总!$D$3:$M$145,10,0)</f>
        <v>9545.25</v>
      </c>
      <c r="AD69" s="48">
        <f t="shared" si="52"/>
        <v>72864</v>
      </c>
      <c r="AE69" s="48">
        <f t="shared" si="53"/>
        <v>17902.6848</v>
      </c>
      <c r="AF69" s="49">
        <v>18216</v>
      </c>
      <c r="AG69" s="49">
        <v>4475.6712</v>
      </c>
      <c r="AH69" s="53">
        <f t="shared" si="54"/>
        <v>0.2457</v>
      </c>
      <c r="AI69" s="53">
        <f t="shared" si="55"/>
        <v>0.990558986605182</v>
      </c>
      <c r="AJ69" s="53">
        <f t="shared" si="56"/>
        <v>0.533174219768423</v>
      </c>
      <c r="AK69" s="48"/>
      <c r="AL69" s="48">
        <f t="shared" si="57"/>
        <v>91080</v>
      </c>
      <c r="AM69" s="48">
        <f t="shared" si="58"/>
        <v>20588.08752</v>
      </c>
      <c r="AN69" s="54">
        <f t="shared" si="59"/>
        <v>0.792447189284146</v>
      </c>
      <c r="AO69" s="54">
        <f t="shared" si="60"/>
        <v>0.463629756320368</v>
      </c>
      <c r="AP69" s="49"/>
      <c r="AQ69" s="49">
        <v>22770</v>
      </c>
      <c r="AR69" s="49">
        <v>5147.02188</v>
      </c>
      <c r="AS69" s="53">
        <f t="shared" si="61"/>
        <v>0.226044</v>
      </c>
      <c r="AT69" s="125">
        <f t="shared" si="62"/>
        <v>0</v>
      </c>
      <c r="AU69" s="57">
        <v>60</v>
      </c>
      <c r="AV69" s="118">
        <f>VLOOKUP(B69,[4]门店奖励金额汇总!$A:$D,4,0)</f>
        <v>53</v>
      </c>
    </row>
    <row r="70" spans="1:49">
      <c r="A70" s="23">
        <v>68</v>
      </c>
      <c r="B70" s="24">
        <v>712</v>
      </c>
      <c r="C70" s="24" t="s">
        <v>108</v>
      </c>
      <c r="D70" s="24" t="s">
        <v>107</v>
      </c>
      <c r="E70" s="123">
        <f>VLOOKUP(B70,[3]正式员工人数!$A:$C,3,0)</f>
        <v>4</v>
      </c>
      <c r="F70" s="32">
        <v>1</v>
      </c>
      <c r="G70" s="32">
        <v>200</v>
      </c>
      <c r="H70" s="28">
        <f>VLOOKUP(B70,[1]查询时间段分门店销售汇总!$D$3:$L$145,9,0)</f>
        <v>38283.15</v>
      </c>
      <c r="I70" s="28">
        <f>VLOOKUP(B70,[1]查询时间段分门店销售汇总!$D$3:$M$145,10,0)</f>
        <v>11377.16</v>
      </c>
      <c r="J70" s="32">
        <f t="shared" si="42"/>
        <v>75000</v>
      </c>
      <c r="K70" s="32">
        <f t="shared" si="43"/>
        <v>19597.5</v>
      </c>
      <c r="L70" s="38">
        <v>25000</v>
      </c>
      <c r="M70" s="39">
        <v>6532.5</v>
      </c>
      <c r="N70" s="40">
        <f t="shared" si="44"/>
        <v>0.2613</v>
      </c>
      <c r="O70" s="40">
        <f t="shared" si="45"/>
        <v>0.510442</v>
      </c>
      <c r="P70" s="40">
        <f t="shared" si="46"/>
        <v>0.580541395586172</v>
      </c>
      <c r="Q70" s="43"/>
      <c r="R70" s="43"/>
      <c r="S70" s="43">
        <f t="shared" si="47"/>
        <v>82500</v>
      </c>
      <c r="T70" s="43">
        <f t="shared" si="48"/>
        <v>19401.525</v>
      </c>
      <c r="U70" s="38">
        <v>27500</v>
      </c>
      <c r="V70" s="39">
        <v>6467.175</v>
      </c>
      <c r="W70" s="40">
        <f t="shared" si="49"/>
        <v>0.23517</v>
      </c>
      <c r="X70" s="40">
        <f t="shared" si="50"/>
        <v>0.464038181818182</v>
      </c>
      <c r="Y70" s="40">
        <f t="shared" si="51"/>
        <v>0.586405450087042</v>
      </c>
      <c r="Z70" s="43"/>
      <c r="AA70" s="43"/>
      <c r="AB70" s="47">
        <f>VLOOKUP(B70,[2]查询时间段分门店销售汇总!$D$3:$L$145,9,0)</f>
        <v>47248.42</v>
      </c>
      <c r="AC70" s="47">
        <f>VLOOKUP(B70,[2]查询时间段分门店销售汇总!$D$3:$M$145,10,0)</f>
        <v>12548.8</v>
      </c>
      <c r="AD70" s="48">
        <f t="shared" si="52"/>
        <v>66000</v>
      </c>
      <c r="AE70" s="48">
        <f t="shared" si="53"/>
        <v>19401.525</v>
      </c>
      <c r="AF70" s="49">
        <v>16500</v>
      </c>
      <c r="AG70" s="49">
        <v>4850.38125</v>
      </c>
      <c r="AH70" s="53">
        <f t="shared" si="54"/>
        <v>0.2939625</v>
      </c>
      <c r="AI70" s="53">
        <f t="shared" si="55"/>
        <v>0.715885151515152</v>
      </c>
      <c r="AJ70" s="53">
        <f t="shared" si="56"/>
        <v>0.646794517441284</v>
      </c>
      <c r="AK70" s="48"/>
      <c r="AL70" s="48">
        <f t="shared" si="57"/>
        <v>82500</v>
      </c>
      <c r="AM70" s="48">
        <f t="shared" si="58"/>
        <v>22311.75375</v>
      </c>
      <c r="AN70" s="54">
        <f t="shared" si="59"/>
        <v>0.572708121212121</v>
      </c>
      <c r="AO70" s="54">
        <f t="shared" si="60"/>
        <v>0.562430015166334</v>
      </c>
      <c r="AP70" s="49"/>
      <c r="AQ70" s="49">
        <v>20625</v>
      </c>
      <c r="AR70" s="49">
        <v>5577.9384375</v>
      </c>
      <c r="AS70" s="53">
        <f t="shared" si="61"/>
        <v>0.2704455</v>
      </c>
      <c r="AT70" s="125">
        <f t="shared" si="62"/>
        <v>0</v>
      </c>
      <c r="AU70" s="57">
        <v>60</v>
      </c>
      <c r="AV70" s="128">
        <f>VLOOKUP(B70,[4]门店奖励金额汇总!$A:$D,4,0)</f>
        <v>72</v>
      </c>
      <c r="AW70" s="76">
        <f>AV70*4</f>
        <v>288</v>
      </c>
    </row>
    <row r="71" spans="1:48">
      <c r="A71" s="23">
        <v>69</v>
      </c>
      <c r="B71" s="24">
        <v>707</v>
      </c>
      <c r="C71" s="24" t="s">
        <v>109</v>
      </c>
      <c r="D71" s="24" t="s">
        <v>107</v>
      </c>
      <c r="E71" s="123">
        <f>VLOOKUP(B71,[3]正式员工人数!$A:$C,3,0)</f>
        <v>3</v>
      </c>
      <c r="F71" s="32">
        <v>1</v>
      </c>
      <c r="G71" s="32">
        <v>200</v>
      </c>
      <c r="H71" s="28">
        <f>VLOOKUP(B71,[1]查询时间段分门店销售汇总!$D$3:$L$145,9,0)</f>
        <v>72965.77</v>
      </c>
      <c r="I71" s="28">
        <f>VLOOKUP(B71,[1]查询时间段分门店销售汇总!$D$3:$M$145,10,0)</f>
        <v>21527.06</v>
      </c>
      <c r="J71" s="32">
        <f t="shared" si="42"/>
        <v>72000</v>
      </c>
      <c r="K71" s="32">
        <f t="shared" si="43"/>
        <v>17971.2</v>
      </c>
      <c r="L71" s="38">
        <v>24000</v>
      </c>
      <c r="M71" s="39">
        <v>5990.4</v>
      </c>
      <c r="N71" s="40">
        <f t="shared" si="44"/>
        <v>0.2496</v>
      </c>
      <c r="O71" s="41">
        <f t="shared" si="45"/>
        <v>1.01341347222222</v>
      </c>
      <c r="P71" s="41">
        <f t="shared" si="46"/>
        <v>1.19786436075499</v>
      </c>
      <c r="Q71" s="43">
        <f>E71*70</f>
        <v>210</v>
      </c>
      <c r="R71" s="43">
        <f>(I71-K71)*0.2</f>
        <v>711.172</v>
      </c>
      <c r="S71" s="43">
        <f t="shared" si="47"/>
        <v>79200</v>
      </c>
      <c r="T71" s="43">
        <f t="shared" si="48"/>
        <v>17791.488</v>
      </c>
      <c r="U71" s="38">
        <v>26400</v>
      </c>
      <c r="V71" s="39">
        <v>5930.496</v>
      </c>
      <c r="W71" s="40">
        <f t="shared" si="49"/>
        <v>0.22464</v>
      </c>
      <c r="X71" s="40">
        <f t="shared" si="50"/>
        <v>0.921284974747475</v>
      </c>
      <c r="Y71" s="41">
        <f t="shared" si="51"/>
        <v>1.20996400076261</v>
      </c>
      <c r="Z71" s="43"/>
      <c r="AA71" s="43"/>
      <c r="AB71" s="47">
        <f>VLOOKUP(B71,[2]查询时间段分门店销售汇总!$D$3:$L$145,9,0)</f>
        <v>57612.84</v>
      </c>
      <c r="AC71" s="47">
        <f>VLOOKUP(B71,[2]查询时间段分门店销售汇总!$D$3:$M$145,10,0)</f>
        <v>14127.71</v>
      </c>
      <c r="AD71" s="48">
        <f t="shared" si="52"/>
        <v>63360</v>
      </c>
      <c r="AE71" s="48">
        <f t="shared" si="53"/>
        <v>17791.488</v>
      </c>
      <c r="AF71" s="49">
        <v>15840</v>
      </c>
      <c r="AG71" s="49">
        <v>4447.872</v>
      </c>
      <c r="AH71" s="53">
        <f t="shared" si="54"/>
        <v>0.2808</v>
      </c>
      <c r="AI71" s="53">
        <f t="shared" si="55"/>
        <v>0.909293560606061</v>
      </c>
      <c r="AJ71" s="53">
        <f t="shared" si="56"/>
        <v>0.794071299713661</v>
      </c>
      <c r="AK71" s="48"/>
      <c r="AL71" s="48">
        <f t="shared" si="57"/>
        <v>79200</v>
      </c>
      <c r="AM71" s="48">
        <f t="shared" si="58"/>
        <v>20460.2112</v>
      </c>
      <c r="AN71" s="54">
        <f t="shared" si="59"/>
        <v>0.727434848484848</v>
      </c>
      <c r="AO71" s="54">
        <f t="shared" si="60"/>
        <v>0.690496782359705</v>
      </c>
      <c r="AP71" s="49"/>
      <c r="AQ71" s="49">
        <v>19800</v>
      </c>
      <c r="AR71" s="49">
        <v>5115.0528</v>
      </c>
      <c r="AS71" s="53">
        <f t="shared" si="61"/>
        <v>0.258336</v>
      </c>
      <c r="AT71" s="125">
        <f t="shared" si="62"/>
        <v>921.172</v>
      </c>
      <c r="AU71" s="57">
        <v>60</v>
      </c>
      <c r="AV71" s="118">
        <f>VLOOKUP(B71,[4]门店奖励金额汇总!$A:$D,4,0)</f>
        <v>25</v>
      </c>
    </row>
    <row r="72" spans="1:48">
      <c r="A72" s="23">
        <v>70</v>
      </c>
      <c r="B72" s="24">
        <v>511</v>
      </c>
      <c r="C72" s="24" t="s">
        <v>110</v>
      </c>
      <c r="D72" s="24" t="s">
        <v>107</v>
      </c>
      <c r="E72" s="123">
        <f>VLOOKUP(B72,[3]正式员工人数!$A:$C,3,0)</f>
        <v>2</v>
      </c>
      <c r="F72" s="32">
        <v>2</v>
      </c>
      <c r="G72" s="32">
        <v>150</v>
      </c>
      <c r="H72" s="28">
        <f>VLOOKUP(B72,[1]查询时间段分门店销售汇总!$D$3:$L$145,9,0)</f>
        <v>64667.35</v>
      </c>
      <c r="I72" s="28">
        <f>VLOOKUP(B72,[1]查询时间段分门店销售汇总!$D$3:$M$145,10,0)</f>
        <v>16897.26</v>
      </c>
      <c r="J72" s="32">
        <f t="shared" si="42"/>
        <v>56160</v>
      </c>
      <c r="K72" s="32">
        <f t="shared" si="43"/>
        <v>13842.3168</v>
      </c>
      <c r="L72" s="38">
        <v>18720</v>
      </c>
      <c r="M72" s="39">
        <v>4614.1056</v>
      </c>
      <c r="N72" s="40">
        <f t="shared" si="44"/>
        <v>0.24648</v>
      </c>
      <c r="O72" s="41">
        <f t="shared" si="45"/>
        <v>1.15148415242165</v>
      </c>
      <c r="P72" s="41">
        <f t="shared" si="46"/>
        <v>1.2206959459272</v>
      </c>
      <c r="Q72" s="43"/>
      <c r="R72" s="43"/>
      <c r="S72" s="43">
        <f t="shared" si="47"/>
        <v>61776</v>
      </c>
      <c r="T72" s="43">
        <f t="shared" si="48"/>
        <v>13703.893632</v>
      </c>
      <c r="U72" s="38">
        <v>20592</v>
      </c>
      <c r="V72" s="39">
        <v>4567.964544</v>
      </c>
      <c r="W72" s="40">
        <f t="shared" si="49"/>
        <v>0.221832</v>
      </c>
      <c r="X72" s="41">
        <f t="shared" si="50"/>
        <v>1.04680377492877</v>
      </c>
      <c r="Y72" s="41">
        <f t="shared" si="51"/>
        <v>1.23302620800727</v>
      </c>
      <c r="Z72" s="43">
        <f>150*E72</f>
        <v>300</v>
      </c>
      <c r="AA72" s="43">
        <f>(I72-K72)*0.3</f>
        <v>916.482959999999</v>
      </c>
      <c r="AB72" s="47">
        <f>VLOOKUP(B72,[2]查询时间段分门店销售汇总!$D$3:$L$145,9,0)</f>
        <v>43815.22</v>
      </c>
      <c r="AC72" s="47">
        <f>VLOOKUP(B72,[2]查询时间段分门店销售汇总!$D$3:$M$145,10,0)</f>
        <v>11878.19</v>
      </c>
      <c r="AD72" s="48">
        <f t="shared" si="52"/>
        <v>49420.8</v>
      </c>
      <c r="AE72" s="48">
        <f t="shared" si="53"/>
        <v>13703.893632</v>
      </c>
      <c r="AF72" s="49">
        <v>12355.2</v>
      </c>
      <c r="AG72" s="49">
        <v>3425.973408</v>
      </c>
      <c r="AH72" s="53">
        <f t="shared" si="54"/>
        <v>0.27729</v>
      </c>
      <c r="AI72" s="53">
        <f t="shared" si="55"/>
        <v>0.886574478761979</v>
      </c>
      <c r="AJ72" s="53">
        <f t="shared" si="56"/>
        <v>0.866774824657366</v>
      </c>
      <c r="AK72" s="48"/>
      <c r="AL72" s="48">
        <f t="shared" si="57"/>
        <v>61776</v>
      </c>
      <c r="AM72" s="48">
        <f t="shared" si="58"/>
        <v>15759.4776768</v>
      </c>
      <c r="AN72" s="54">
        <f t="shared" si="59"/>
        <v>0.709259583009583</v>
      </c>
      <c r="AO72" s="54">
        <f t="shared" si="60"/>
        <v>0.753717238832493</v>
      </c>
      <c r="AP72" s="49"/>
      <c r="AQ72" s="49">
        <v>15444</v>
      </c>
      <c r="AR72" s="49">
        <v>3939.8694192</v>
      </c>
      <c r="AS72" s="53">
        <f t="shared" si="61"/>
        <v>0.2551068</v>
      </c>
      <c r="AT72" s="125">
        <f t="shared" si="62"/>
        <v>1216.48296</v>
      </c>
      <c r="AU72" s="57">
        <v>60</v>
      </c>
      <c r="AV72" s="118">
        <f>VLOOKUP(B72,[4]门店奖励金额汇总!$A:$D,4,0)</f>
        <v>30</v>
      </c>
    </row>
    <row r="73" spans="1:49">
      <c r="A73" s="23">
        <v>71</v>
      </c>
      <c r="B73" s="24">
        <v>387</v>
      </c>
      <c r="C73" s="24" t="s">
        <v>111</v>
      </c>
      <c r="D73" s="24" t="s">
        <v>107</v>
      </c>
      <c r="E73" s="123">
        <f>VLOOKUP(B73,[3]正式员工人数!$A:$C,3,0)</f>
        <v>2</v>
      </c>
      <c r="F73" s="32">
        <v>2</v>
      </c>
      <c r="G73" s="32">
        <v>150</v>
      </c>
      <c r="H73" s="28">
        <f>VLOOKUP(B73,[1]查询时间段分门店销售汇总!$D$3:$L$145,9,0)</f>
        <v>29598.03</v>
      </c>
      <c r="I73" s="28">
        <f>VLOOKUP(B73,[1]查询时间段分门店销售汇总!$D$3:$M$145,10,0)</f>
        <v>6013.61</v>
      </c>
      <c r="J73" s="32">
        <f t="shared" si="42"/>
        <v>54750</v>
      </c>
      <c r="K73" s="32">
        <f t="shared" si="43"/>
        <v>11555.973</v>
      </c>
      <c r="L73" s="38">
        <v>18250</v>
      </c>
      <c r="M73" s="39">
        <v>3851.991</v>
      </c>
      <c r="N73" s="40">
        <f t="shared" si="44"/>
        <v>0.211068</v>
      </c>
      <c r="O73" s="40">
        <f t="shared" si="45"/>
        <v>0.540603287671233</v>
      </c>
      <c r="P73" s="40">
        <f t="shared" si="46"/>
        <v>0.520389758612278</v>
      </c>
      <c r="Q73" s="43"/>
      <c r="R73" s="43"/>
      <c r="S73" s="43">
        <f t="shared" si="47"/>
        <v>60225</v>
      </c>
      <c r="T73" s="43">
        <f t="shared" si="48"/>
        <v>11440.41327</v>
      </c>
      <c r="U73" s="38">
        <v>20075</v>
      </c>
      <c r="V73" s="39">
        <v>3813.47109</v>
      </c>
      <c r="W73" s="40">
        <f t="shared" si="49"/>
        <v>0.1899612</v>
      </c>
      <c r="X73" s="40">
        <f t="shared" si="50"/>
        <v>0.491457534246575</v>
      </c>
      <c r="Y73" s="40">
        <f t="shared" si="51"/>
        <v>0.525646220820483</v>
      </c>
      <c r="Z73" s="43"/>
      <c r="AA73" s="43"/>
      <c r="AB73" s="47">
        <f>VLOOKUP(B73,[2]查询时间段分门店销售汇总!$D$3:$L$145,9,0)</f>
        <v>41028.58</v>
      </c>
      <c r="AC73" s="47">
        <f>VLOOKUP(B73,[2]查询时间段分门店销售汇总!$D$3:$M$145,10,0)</f>
        <v>7604.21</v>
      </c>
      <c r="AD73" s="48">
        <f t="shared" si="52"/>
        <v>48180</v>
      </c>
      <c r="AE73" s="48">
        <f t="shared" si="53"/>
        <v>11440.41327</v>
      </c>
      <c r="AF73" s="49">
        <v>12045</v>
      </c>
      <c r="AG73" s="49">
        <v>2860.1033175</v>
      </c>
      <c r="AH73" s="53">
        <f t="shared" si="54"/>
        <v>0.2374515</v>
      </c>
      <c r="AI73" s="53">
        <f t="shared" si="55"/>
        <v>0.851568700705687</v>
      </c>
      <c r="AJ73" s="53">
        <f t="shared" si="56"/>
        <v>0.664679659775962</v>
      </c>
      <c r="AK73" s="48"/>
      <c r="AL73" s="48">
        <f t="shared" si="57"/>
        <v>60225</v>
      </c>
      <c r="AM73" s="48">
        <f t="shared" si="58"/>
        <v>13156.4752605</v>
      </c>
      <c r="AN73" s="54">
        <f t="shared" si="59"/>
        <v>0.68125496056455</v>
      </c>
      <c r="AO73" s="54">
        <f t="shared" si="60"/>
        <v>0.577982312848663</v>
      </c>
      <c r="AP73" s="49"/>
      <c r="AQ73" s="49">
        <v>15056.25</v>
      </c>
      <c r="AR73" s="49">
        <v>3289.118815125</v>
      </c>
      <c r="AS73" s="53">
        <f t="shared" si="61"/>
        <v>0.21845538</v>
      </c>
      <c r="AT73" s="125">
        <f t="shared" si="62"/>
        <v>0</v>
      </c>
      <c r="AU73" s="57">
        <v>50</v>
      </c>
      <c r="AV73" s="128">
        <f>VLOOKUP(B73,[4]门店奖励金额汇总!$A:$D,4,0)</f>
        <v>171</v>
      </c>
      <c r="AW73" s="76">
        <f>AV73*4</f>
        <v>684</v>
      </c>
    </row>
    <row r="74" spans="1:49">
      <c r="A74" s="23">
        <v>72</v>
      </c>
      <c r="B74" s="24">
        <v>737</v>
      </c>
      <c r="C74" s="24" t="s">
        <v>112</v>
      </c>
      <c r="D74" s="24" t="s">
        <v>107</v>
      </c>
      <c r="E74" s="123">
        <f>VLOOKUP(B74,[3]正式员工人数!$A:$C,3,0)</f>
        <v>2</v>
      </c>
      <c r="F74" s="32">
        <v>2</v>
      </c>
      <c r="G74" s="32">
        <v>150</v>
      </c>
      <c r="H74" s="28">
        <f>VLOOKUP(B74,[1]查询时间段分门店销售汇总!$D$3:$L$145,9,0)</f>
        <v>57237.77</v>
      </c>
      <c r="I74" s="28">
        <f>VLOOKUP(B74,[1]查询时间段分门店销售汇总!$D$3:$M$145,10,0)</f>
        <v>11464.14</v>
      </c>
      <c r="J74" s="32">
        <f t="shared" si="42"/>
        <v>54000</v>
      </c>
      <c r="K74" s="32">
        <f t="shared" si="43"/>
        <v>12004.2</v>
      </c>
      <c r="L74" s="38">
        <v>18000</v>
      </c>
      <c r="M74" s="39">
        <v>4001.4</v>
      </c>
      <c r="N74" s="40">
        <f t="shared" si="44"/>
        <v>0.2223</v>
      </c>
      <c r="O74" s="41">
        <f t="shared" si="45"/>
        <v>1.0599587037037</v>
      </c>
      <c r="P74" s="40">
        <f t="shared" si="46"/>
        <v>0.955010746238816</v>
      </c>
      <c r="Q74" s="43">
        <f>E74*70</f>
        <v>140</v>
      </c>
      <c r="R74" s="43"/>
      <c r="S74" s="43">
        <f t="shared" si="47"/>
        <v>59400</v>
      </c>
      <c r="T74" s="43">
        <f t="shared" si="48"/>
        <v>11884.158</v>
      </c>
      <c r="U74" s="38">
        <v>19800</v>
      </c>
      <c r="V74" s="39">
        <v>3961.386</v>
      </c>
      <c r="W74" s="40">
        <f t="shared" si="49"/>
        <v>0.20007</v>
      </c>
      <c r="X74" s="40">
        <f t="shared" si="50"/>
        <v>0.963598821548821</v>
      </c>
      <c r="Y74" s="40">
        <f t="shared" si="51"/>
        <v>0.964657319433148</v>
      </c>
      <c r="Z74" s="43"/>
      <c r="AA74" s="43"/>
      <c r="AB74" s="47">
        <f>VLOOKUP(B74,[2]查询时间段分门店销售汇总!$D$3:$L$145,9,0)</f>
        <v>30465.01</v>
      </c>
      <c r="AC74" s="47">
        <f>VLOOKUP(B74,[2]查询时间段分门店销售汇总!$D$3:$M$145,10,0)</f>
        <v>7167.72</v>
      </c>
      <c r="AD74" s="48">
        <f t="shared" si="52"/>
        <v>47520</v>
      </c>
      <c r="AE74" s="48">
        <f t="shared" si="53"/>
        <v>11884.158</v>
      </c>
      <c r="AF74" s="49">
        <v>11880</v>
      </c>
      <c r="AG74" s="49">
        <v>2971.0395</v>
      </c>
      <c r="AH74" s="53">
        <f t="shared" si="54"/>
        <v>0.2500875</v>
      </c>
      <c r="AI74" s="53">
        <f t="shared" si="55"/>
        <v>0.641098695286195</v>
      </c>
      <c r="AJ74" s="53">
        <f t="shared" si="56"/>
        <v>0.603132338025126</v>
      </c>
      <c r="AK74" s="48"/>
      <c r="AL74" s="48">
        <f t="shared" si="57"/>
        <v>59400</v>
      </c>
      <c r="AM74" s="48">
        <f t="shared" si="58"/>
        <v>13666.7817</v>
      </c>
      <c r="AN74" s="54">
        <f t="shared" si="59"/>
        <v>0.512878956228956</v>
      </c>
      <c r="AO74" s="54">
        <f t="shared" si="60"/>
        <v>0.524462902630544</v>
      </c>
      <c r="AP74" s="49"/>
      <c r="AQ74" s="49">
        <v>14850</v>
      </c>
      <c r="AR74" s="49">
        <v>3416.695425</v>
      </c>
      <c r="AS74" s="53">
        <f t="shared" si="61"/>
        <v>0.2300805</v>
      </c>
      <c r="AT74" s="125">
        <f t="shared" si="62"/>
        <v>140</v>
      </c>
      <c r="AU74" s="57">
        <v>50</v>
      </c>
      <c r="AV74" s="128">
        <f>VLOOKUP(B74,[4]门店奖励金额汇总!$A:$D,4,0)</f>
        <v>63</v>
      </c>
      <c r="AW74" s="76">
        <f>AV74*4</f>
        <v>252</v>
      </c>
    </row>
    <row r="75" spans="1:49">
      <c r="A75" s="23">
        <v>73</v>
      </c>
      <c r="B75" s="24">
        <v>377</v>
      </c>
      <c r="C75" s="24" t="s">
        <v>113</v>
      </c>
      <c r="D75" s="24" t="s">
        <v>107</v>
      </c>
      <c r="E75" s="123">
        <f>VLOOKUP(B75,[3]正式员工人数!$A:$C,3,0)</f>
        <v>3</v>
      </c>
      <c r="F75" s="32">
        <v>3</v>
      </c>
      <c r="G75" s="32">
        <v>150</v>
      </c>
      <c r="H75" s="28">
        <f>VLOOKUP(B75,[1]查询时间段分门店销售汇总!$D$3:$L$145,9,0)</f>
        <v>50777.28</v>
      </c>
      <c r="I75" s="28">
        <f>VLOOKUP(B75,[1]查询时间段分门店销售汇总!$D$3:$M$145,10,0)</f>
        <v>8796.91</v>
      </c>
      <c r="J75" s="32">
        <f t="shared" si="42"/>
        <v>47520</v>
      </c>
      <c r="K75" s="32">
        <f t="shared" si="43"/>
        <v>12513.34656</v>
      </c>
      <c r="L75" s="38">
        <v>15840</v>
      </c>
      <c r="M75" s="39">
        <v>4171.11552</v>
      </c>
      <c r="N75" s="40">
        <f t="shared" si="44"/>
        <v>0.263328</v>
      </c>
      <c r="O75" s="41">
        <f t="shared" si="45"/>
        <v>1.06854545454545</v>
      </c>
      <c r="P75" s="40">
        <f t="shared" si="46"/>
        <v>0.703002187130347</v>
      </c>
      <c r="Q75" s="43">
        <f>E75*70</f>
        <v>210</v>
      </c>
      <c r="R75" s="43"/>
      <c r="S75" s="43">
        <f t="shared" si="47"/>
        <v>52272</v>
      </c>
      <c r="T75" s="43">
        <f t="shared" si="48"/>
        <v>12388.2130944</v>
      </c>
      <c r="U75" s="38">
        <v>17424</v>
      </c>
      <c r="V75" s="39">
        <v>4129.4043648</v>
      </c>
      <c r="W75" s="40">
        <f t="shared" si="49"/>
        <v>0.2369952</v>
      </c>
      <c r="X75" s="40">
        <f t="shared" si="50"/>
        <v>0.971404958677686</v>
      </c>
      <c r="Y75" s="40">
        <f t="shared" si="51"/>
        <v>0.710103219323582</v>
      </c>
      <c r="Z75" s="43"/>
      <c r="AA75" s="43"/>
      <c r="AB75" s="47">
        <f>VLOOKUP(B75,[2]查询时间段分门店销售汇总!$D$3:$L$145,9,0)</f>
        <v>32738.04</v>
      </c>
      <c r="AC75" s="47">
        <f>VLOOKUP(B75,[2]查询时间段分门店销售汇总!$D$3:$M$145,10,0)</f>
        <v>8359.23</v>
      </c>
      <c r="AD75" s="48">
        <f t="shared" si="52"/>
        <v>41817.6</v>
      </c>
      <c r="AE75" s="48">
        <f t="shared" si="53"/>
        <v>12388.2130944</v>
      </c>
      <c r="AF75" s="49">
        <v>10454.4</v>
      </c>
      <c r="AG75" s="49">
        <v>3097.0532736</v>
      </c>
      <c r="AH75" s="53">
        <f t="shared" si="54"/>
        <v>0.296244</v>
      </c>
      <c r="AI75" s="53">
        <f t="shared" si="55"/>
        <v>0.782877066115703</v>
      </c>
      <c r="AJ75" s="53">
        <f t="shared" si="56"/>
        <v>0.67477286161462</v>
      </c>
      <c r="AK75" s="48"/>
      <c r="AL75" s="48">
        <f t="shared" si="57"/>
        <v>52272</v>
      </c>
      <c r="AM75" s="48">
        <f t="shared" si="58"/>
        <v>14246.44505856</v>
      </c>
      <c r="AN75" s="54">
        <f t="shared" si="59"/>
        <v>0.626301652892562</v>
      </c>
      <c r="AO75" s="54">
        <f t="shared" si="60"/>
        <v>0.58675901009967</v>
      </c>
      <c r="AP75" s="49"/>
      <c r="AQ75" s="49">
        <v>13068</v>
      </c>
      <c r="AR75" s="49">
        <v>3561.61126464</v>
      </c>
      <c r="AS75" s="53">
        <f t="shared" si="61"/>
        <v>0.27254448</v>
      </c>
      <c r="AT75" s="125">
        <f t="shared" si="62"/>
        <v>210</v>
      </c>
      <c r="AU75" s="57">
        <v>50</v>
      </c>
      <c r="AV75" s="128">
        <f>VLOOKUP(B75,[4]门店奖励金额汇总!$A:$D,4,0)</f>
        <v>80</v>
      </c>
      <c r="AW75" s="76">
        <f>AV75*4</f>
        <v>320</v>
      </c>
    </row>
    <row r="76" spans="1:49">
      <c r="A76" s="23">
        <v>74</v>
      </c>
      <c r="B76" s="24">
        <v>118074</v>
      </c>
      <c r="C76" s="24" t="s">
        <v>114</v>
      </c>
      <c r="D76" s="24" t="s">
        <v>107</v>
      </c>
      <c r="E76" s="123">
        <f>VLOOKUP(B76,[3]正式员工人数!$A:$C,3,0)</f>
        <v>2</v>
      </c>
      <c r="F76" s="32">
        <v>3</v>
      </c>
      <c r="G76" s="32">
        <v>150</v>
      </c>
      <c r="H76" s="28">
        <v>61045.93</v>
      </c>
      <c r="I76" s="28">
        <v>17127.74</v>
      </c>
      <c r="J76" s="32">
        <f t="shared" si="42"/>
        <v>45360</v>
      </c>
      <c r="K76" s="32">
        <f t="shared" si="43"/>
        <v>10486.86912</v>
      </c>
      <c r="L76" s="38">
        <v>15120</v>
      </c>
      <c r="M76" s="39">
        <v>3495.62304</v>
      </c>
      <c r="N76" s="40">
        <f t="shared" si="44"/>
        <v>0.231192</v>
      </c>
      <c r="O76" s="41">
        <f t="shared" si="45"/>
        <v>1.34580974426808</v>
      </c>
      <c r="P76" s="41">
        <f t="shared" si="46"/>
        <v>1.63325581772875</v>
      </c>
      <c r="Q76" s="43"/>
      <c r="R76" s="43"/>
      <c r="S76" s="43">
        <f t="shared" si="47"/>
        <v>49896</v>
      </c>
      <c r="T76" s="43">
        <f t="shared" si="48"/>
        <v>10382.0004288</v>
      </c>
      <c r="U76" s="38">
        <v>16632</v>
      </c>
      <c r="V76" s="39">
        <v>3460.6668096</v>
      </c>
      <c r="W76" s="40">
        <f t="shared" si="49"/>
        <v>0.2080728</v>
      </c>
      <c r="X76" s="41">
        <f t="shared" si="50"/>
        <v>1.22346340388007</v>
      </c>
      <c r="Y76" s="41">
        <f t="shared" si="51"/>
        <v>1.64975335124116</v>
      </c>
      <c r="Z76" s="43">
        <f>150*E76</f>
        <v>300</v>
      </c>
      <c r="AA76" s="43">
        <f>(I76-K76)*0.3</f>
        <v>1992.261264</v>
      </c>
      <c r="AB76" s="47">
        <f>VLOOKUP(B76,[2]查询时间段分门店销售汇总!$D$3:$L$145,9,0)</f>
        <v>54773.32</v>
      </c>
      <c r="AC76" s="47">
        <f>VLOOKUP(B76,[2]查询时间段分门店销售汇总!$D$3:$M$145,10,0)</f>
        <v>16348.44</v>
      </c>
      <c r="AD76" s="48">
        <f t="shared" si="52"/>
        <v>39916.8</v>
      </c>
      <c r="AE76" s="48">
        <f t="shared" si="53"/>
        <v>10382.0004288</v>
      </c>
      <c r="AF76" s="49">
        <v>9979.2</v>
      </c>
      <c r="AG76" s="49">
        <v>2595.5001072</v>
      </c>
      <c r="AH76" s="53">
        <f t="shared" si="54"/>
        <v>0.260091</v>
      </c>
      <c r="AI76" s="41">
        <f t="shared" si="55"/>
        <v>1.37218714927048</v>
      </c>
      <c r="AJ76" s="41">
        <f t="shared" si="56"/>
        <v>1.57469074598079</v>
      </c>
      <c r="AK76" s="48">
        <v>500</v>
      </c>
      <c r="AL76" s="48">
        <f t="shared" si="57"/>
        <v>49896</v>
      </c>
      <c r="AM76" s="48">
        <f t="shared" si="58"/>
        <v>11939.30049312</v>
      </c>
      <c r="AN76" s="59">
        <f t="shared" si="59"/>
        <v>1.09774971941639</v>
      </c>
      <c r="AO76" s="59">
        <f t="shared" si="60"/>
        <v>1.36929630085286</v>
      </c>
      <c r="AP76" s="49">
        <f>(AC76-AM76)*0.1</f>
        <v>440.913950688</v>
      </c>
      <c r="AQ76" s="49">
        <v>12474</v>
      </c>
      <c r="AR76" s="49">
        <v>2984.82512328</v>
      </c>
      <c r="AS76" s="53">
        <f t="shared" si="61"/>
        <v>0.23928372</v>
      </c>
      <c r="AT76" s="125">
        <f t="shared" si="62"/>
        <v>3233.175214688</v>
      </c>
      <c r="AU76" s="57">
        <v>50</v>
      </c>
      <c r="AV76" s="128">
        <f>VLOOKUP(B76,[4]门店奖励金额汇总!$A:$D,4,0)</f>
        <v>93</v>
      </c>
      <c r="AW76" s="76">
        <f>AV76*4</f>
        <v>372</v>
      </c>
    </row>
    <row r="77" spans="1:49">
      <c r="A77" s="23">
        <v>75</v>
      </c>
      <c r="B77" s="24">
        <v>105751</v>
      </c>
      <c r="C77" s="24" t="s">
        <v>115</v>
      </c>
      <c r="D77" s="24" t="s">
        <v>107</v>
      </c>
      <c r="E77" s="123">
        <f>VLOOKUP(B77,[3]正式员工人数!$A:$C,3,0)</f>
        <v>3</v>
      </c>
      <c r="F77" s="32">
        <v>4</v>
      </c>
      <c r="G77" s="32">
        <v>100</v>
      </c>
      <c r="H77" s="28">
        <f>VLOOKUP(B77,[1]查询时间段分门店销售汇总!$D$3:$L$145,9,0)</f>
        <v>31343</v>
      </c>
      <c r="I77" s="28">
        <f>VLOOKUP(B77,[1]查询时间段分门店销售汇总!$D$3:$M$145,10,0)</f>
        <v>6915.81</v>
      </c>
      <c r="J77" s="32">
        <f t="shared" si="42"/>
        <v>43500</v>
      </c>
      <c r="K77" s="32">
        <f t="shared" si="43"/>
        <v>11196.9</v>
      </c>
      <c r="L77" s="38">
        <v>14500</v>
      </c>
      <c r="M77" s="39">
        <v>3732.3</v>
      </c>
      <c r="N77" s="40">
        <f t="shared" si="44"/>
        <v>0.2574</v>
      </c>
      <c r="O77" s="40">
        <f t="shared" si="45"/>
        <v>0.720528735632184</v>
      </c>
      <c r="P77" s="40">
        <f t="shared" si="46"/>
        <v>0.617653993516063</v>
      </c>
      <c r="Q77" s="43"/>
      <c r="R77" s="43"/>
      <c r="S77" s="43">
        <f t="shared" si="47"/>
        <v>47850</v>
      </c>
      <c r="T77" s="43">
        <f t="shared" si="48"/>
        <v>11084.931</v>
      </c>
      <c r="U77" s="38">
        <v>15950</v>
      </c>
      <c r="V77" s="39">
        <v>3694.977</v>
      </c>
      <c r="W77" s="40">
        <f t="shared" si="49"/>
        <v>0.23166</v>
      </c>
      <c r="X77" s="40">
        <f t="shared" si="50"/>
        <v>0.655026123301985</v>
      </c>
      <c r="Y77" s="40">
        <f t="shared" si="51"/>
        <v>0.623892922743498</v>
      </c>
      <c r="Z77" s="43"/>
      <c r="AA77" s="43"/>
      <c r="AB77" s="47">
        <f>VLOOKUP(B77,[2]查询时间段分门店销售汇总!$D$3:$L$145,9,0)</f>
        <v>38549.09</v>
      </c>
      <c r="AC77" s="47">
        <f>VLOOKUP(B77,[2]查询时间段分门店销售汇总!$D$3:$M$145,10,0)</f>
        <v>8851.61</v>
      </c>
      <c r="AD77" s="48">
        <f t="shared" si="52"/>
        <v>38280</v>
      </c>
      <c r="AE77" s="48">
        <f t="shared" si="53"/>
        <v>11084.931</v>
      </c>
      <c r="AF77" s="49">
        <v>9570</v>
      </c>
      <c r="AG77" s="49">
        <v>2771.23275</v>
      </c>
      <c r="AH77" s="53">
        <f t="shared" si="54"/>
        <v>0.289575</v>
      </c>
      <c r="AI77" s="53">
        <f t="shared" si="55"/>
        <v>1.00702951933124</v>
      </c>
      <c r="AJ77" s="53">
        <f t="shared" si="56"/>
        <v>0.798526395879235</v>
      </c>
      <c r="AK77" s="48"/>
      <c r="AL77" s="48">
        <f t="shared" si="57"/>
        <v>47850</v>
      </c>
      <c r="AM77" s="48">
        <f t="shared" si="58"/>
        <v>12747.67065</v>
      </c>
      <c r="AN77" s="54">
        <f t="shared" si="59"/>
        <v>0.805623615464995</v>
      </c>
      <c r="AO77" s="54">
        <f t="shared" si="60"/>
        <v>0.694370779025421</v>
      </c>
      <c r="AP77" s="49"/>
      <c r="AQ77" s="49">
        <v>11962.5</v>
      </c>
      <c r="AR77" s="49">
        <v>3186.9176625</v>
      </c>
      <c r="AS77" s="53">
        <f t="shared" si="61"/>
        <v>0.266409</v>
      </c>
      <c r="AT77" s="125">
        <f t="shared" si="62"/>
        <v>0</v>
      </c>
      <c r="AU77" s="57">
        <v>40</v>
      </c>
      <c r="AV77" s="128">
        <f>VLOOKUP(B77,[4]门店奖励金额汇总!$A:$D,4,0)</f>
        <v>132</v>
      </c>
      <c r="AW77" s="76">
        <f>AV77*4</f>
        <v>528</v>
      </c>
    </row>
    <row r="78" spans="1:48">
      <c r="A78" s="23">
        <v>76</v>
      </c>
      <c r="B78" s="24">
        <v>515</v>
      </c>
      <c r="C78" s="24" t="s">
        <v>116</v>
      </c>
      <c r="D78" s="24" t="s">
        <v>107</v>
      </c>
      <c r="E78" s="123">
        <f>VLOOKUP(B78,[3]正式员工人数!$A:$C,3,0)</f>
        <v>2</v>
      </c>
      <c r="F78" s="32">
        <v>4</v>
      </c>
      <c r="G78" s="32">
        <v>100</v>
      </c>
      <c r="H78" s="28">
        <f>VLOOKUP(B78,[1]查询时间段分门店销售汇总!$D$3:$L$145,9,0)</f>
        <v>47155.33</v>
      </c>
      <c r="I78" s="28">
        <f>VLOOKUP(B78,[1]查询时间段分门店销售汇总!$D$3:$M$145,10,0)</f>
        <v>7830.9</v>
      </c>
      <c r="J78" s="32">
        <f t="shared" si="42"/>
        <v>42000</v>
      </c>
      <c r="K78" s="32">
        <f t="shared" si="43"/>
        <v>10522.512</v>
      </c>
      <c r="L78" s="38">
        <v>14000</v>
      </c>
      <c r="M78" s="39">
        <v>3507.504</v>
      </c>
      <c r="N78" s="40">
        <f t="shared" si="44"/>
        <v>0.250536</v>
      </c>
      <c r="O78" s="41">
        <f t="shared" si="45"/>
        <v>1.12274595238095</v>
      </c>
      <c r="P78" s="40">
        <f t="shared" si="46"/>
        <v>0.744204425711275</v>
      </c>
      <c r="Q78" s="43"/>
      <c r="R78" s="43"/>
      <c r="S78" s="43">
        <f t="shared" si="47"/>
        <v>46200</v>
      </c>
      <c r="T78" s="43">
        <f t="shared" si="48"/>
        <v>10417.28688</v>
      </c>
      <c r="U78" s="38">
        <v>15400</v>
      </c>
      <c r="V78" s="39">
        <v>3472.42896</v>
      </c>
      <c r="W78" s="40">
        <f t="shared" si="49"/>
        <v>0.2254824</v>
      </c>
      <c r="X78" s="41">
        <f t="shared" si="50"/>
        <v>1.02067813852814</v>
      </c>
      <c r="Y78" s="40">
        <f t="shared" si="51"/>
        <v>0.751721642132601</v>
      </c>
      <c r="Z78" s="43">
        <f>150*E78</f>
        <v>300</v>
      </c>
      <c r="AA78" s="43"/>
      <c r="AB78" s="47">
        <f>VLOOKUP(B78,[2]查询时间段分门店销售汇总!$D$3:$L$145,9,0)</f>
        <v>32310.39</v>
      </c>
      <c r="AC78" s="47">
        <f>VLOOKUP(B78,[2]查询时间段分门店销售汇总!$D$3:$M$145,10,0)</f>
        <v>6188.77</v>
      </c>
      <c r="AD78" s="48">
        <f t="shared" si="52"/>
        <v>36960</v>
      </c>
      <c r="AE78" s="48">
        <f t="shared" si="53"/>
        <v>10417.28688</v>
      </c>
      <c r="AF78" s="49">
        <v>9240</v>
      </c>
      <c r="AG78" s="49">
        <v>2604.32172</v>
      </c>
      <c r="AH78" s="53">
        <f t="shared" si="54"/>
        <v>0.281853</v>
      </c>
      <c r="AI78" s="53">
        <f t="shared" si="55"/>
        <v>0.874198863636364</v>
      </c>
      <c r="AJ78" s="53">
        <f t="shared" si="56"/>
        <v>0.594086547801782</v>
      </c>
      <c r="AK78" s="48"/>
      <c r="AL78" s="48">
        <f t="shared" si="57"/>
        <v>46200</v>
      </c>
      <c r="AM78" s="48">
        <f t="shared" si="58"/>
        <v>11979.879912</v>
      </c>
      <c r="AN78" s="54">
        <f t="shared" si="59"/>
        <v>0.699359090909091</v>
      </c>
      <c r="AO78" s="54">
        <f t="shared" si="60"/>
        <v>0.516596998088506</v>
      </c>
      <c r="AP78" s="49"/>
      <c r="AQ78" s="49">
        <v>11550</v>
      </c>
      <c r="AR78" s="49">
        <v>2994.969978</v>
      </c>
      <c r="AS78" s="53">
        <f t="shared" si="61"/>
        <v>0.25930476</v>
      </c>
      <c r="AT78" s="125">
        <f t="shared" si="62"/>
        <v>300</v>
      </c>
      <c r="AU78" s="57">
        <v>50</v>
      </c>
      <c r="AV78" s="118">
        <f>VLOOKUP(B78,[4]门店奖励金额汇总!$A:$D,4,0)</f>
        <v>46</v>
      </c>
    </row>
    <row r="79" spans="1:48">
      <c r="A79" s="23">
        <v>77</v>
      </c>
      <c r="B79" s="24">
        <v>103639</v>
      </c>
      <c r="C79" s="24" t="s">
        <v>117</v>
      </c>
      <c r="D79" s="24" t="s">
        <v>107</v>
      </c>
      <c r="E79" s="123">
        <f>VLOOKUP(B79,[3]正式员工人数!$A:$C,3,0)</f>
        <v>2</v>
      </c>
      <c r="F79" s="32">
        <v>5</v>
      </c>
      <c r="G79" s="32">
        <v>100</v>
      </c>
      <c r="H79" s="28">
        <f>VLOOKUP(B79,[1]查询时间段分门店销售汇总!$D$3:$L$145,9,0)</f>
        <v>39129.9</v>
      </c>
      <c r="I79" s="28">
        <f>VLOOKUP(B79,[1]查询时间段分门店销售汇总!$D$3:$M$145,10,0)</f>
        <v>8850.46</v>
      </c>
      <c r="J79" s="32">
        <f t="shared" si="42"/>
        <v>39000</v>
      </c>
      <c r="K79" s="32">
        <f t="shared" si="43"/>
        <v>9737.442</v>
      </c>
      <c r="L79" s="38">
        <v>13000</v>
      </c>
      <c r="M79" s="39">
        <v>3245.814</v>
      </c>
      <c r="N79" s="40">
        <f t="shared" si="44"/>
        <v>0.249678</v>
      </c>
      <c r="O79" s="41">
        <f t="shared" si="45"/>
        <v>1.00333076923077</v>
      </c>
      <c r="P79" s="40">
        <f t="shared" si="46"/>
        <v>0.908910163470037</v>
      </c>
      <c r="Q79" s="43">
        <f>E79*70</f>
        <v>140</v>
      </c>
      <c r="R79" s="43"/>
      <c r="S79" s="43">
        <f t="shared" si="47"/>
        <v>42900</v>
      </c>
      <c r="T79" s="43">
        <f t="shared" si="48"/>
        <v>9640.06758</v>
      </c>
      <c r="U79" s="38">
        <v>14300</v>
      </c>
      <c r="V79" s="39">
        <v>3213.35586</v>
      </c>
      <c r="W79" s="40">
        <f t="shared" si="49"/>
        <v>0.2247102</v>
      </c>
      <c r="X79" s="40">
        <f t="shared" si="50"/>
        <v>0.912118881118881</v>
      </c>
      <c r="Y79" s="40">
        <f t="shared" si="51"/>
        <v>0.918091074212158</v>
      </c>
      <c r="Z79" s="43"/>
      <c r="AA79" s="43"/>
      <c r="AB79" s="47">
        <f>VLOOKUP(B79,[2]查询时间段分门店销售汇总!$D$3:$L$145,9,0)</f>
        <v>22841.4</v>
      </c>
      <c r="AC79" s="47">
        <f>VLOOKUP(B79,[2]查询时间段分门店销售汇总!$D$3:$M$145,10,0)</f>
        <v>5974.48</v>
      </c>
      <c r="AD79" s="48">
        <f t="shared" si="52"/>
        <v>34320</v>
      </c>
      <c r="AE79" s="48">
        <f t="shared" si="53"/>
        <v>9640.06758</v>
      </c>
      <c r="AF79" s="49">
        <v>8580</v>
      </c>
      <c r="AG79" s="49">
        <v>2410.016895</v>
      </c>
      <c r="AH79" s="53">
        <f t="shared" si="54"/>
        <v>0.28088775</v>
      </c>
      <c r="AI79" s="53">
        <f t="shared" si="55"/>
        <v>0.665541958041958</v>
      </c>
      <c r="AJ79" s="53">
        <f t="shared" si="56"/>
        <v>0.619754991385652</v>
      </c>
      <c r="AK79" s="48"/>
      <c r="AL79" s="48">
        <f t="shared" si="57"/>
        <v>42900</v>
      </c>
      <c r="AM79" s="48">
        <f t="shared" si="58"/>
        <v>11086.077717</v>
      </c>
      <c r="AN79" s="54">
        <f t="shared" si="59"/>
        <v>0.532433566433566</v>
      </c>
      <c r="AO79" s="54">
        <f t="shared" si="60"/>
        <v>0.53891738381361</v>
      </c>
      <c r="AP79" s="49"/>
      <c r="AQ79" s="49">
        <v>10725</v>
      </c>
      <c r="AR79" s="49">
        <v>2771.51942925</v>
      </c>
      <c r="AS79" s="53">
        <f t="shared" si="61"/>
        <v>0.25841673</v>
      </c>
      <c r="AT79" s="125">
        <f t="shared" si="62"/>
        <v>140</v>
      </c>
      <c r="AU79" s="57">
        <v>50</v>
      </c>
      <c r="AV79" s="118">
        <f>VLOOKUP(B79,[4]门店奖励金额汇总!$A:$D,4,0)</f>
        <v>33</v>
      </c>
    </row>
    <row r="80" spans="1:49">
      <c r="A80" s="23">
        <v>78</v>
      </c>
      <c r="B80" s="24">
        <v>355</v>
      </c>
      <c r="C80" s="24" t="s">
        <v>118</v>
      </c>
      <c r="D80" s="24" t="s">
        <v>107</v>
      </c>
      <c r="E80" s="123">
        <f>VLOOKUP(B80,[3]正式员工人数!$A:$C,3,0)</f>
        <v>2</v>
      </c>
      <c r="F80" s="32">
        <v>5</v>
      </c>
      <c r="G80" s="32">
        <v>100</v>
      </c>
      <c r="H80" s="28">
        <f>VLOOKUP(B80,[1]查询时间段分门店销售汇总!$D$3:$L$145,9,0)</f>
        <v>40019.36</v>
      </c>
      <c r="I80" s="28">
        <f>VLOOKUP(B80,[1]查询时间段分门店销售汇总!$D$3:$M$145,10,0)</f>
        <v>8392.46</v>
      </c>
      <c r="J80" s="32">
        <f t="shared" si="42"/>
        <v>39000</v>
      </c>
      <c r="K80" s="32">
        <f t="shared" si="43"/>
        <v>9983.844</v>
      </c>
      <c r="L80" s="38">
        <v>13000</v>
      </c>
      <c r="M80" s="39">
        <v>3327.948</v>
      </c>
      <c r="N80" s="40">
        <f t="shared" si="44"/>
        <v>0.255996</v>
      </c>
      <c r="O80" s="41">
        <f t="shared" si="45"/>
        <v>1.02613743589744</v>
      </c>
      <c r="P80" s="40">
        <f t="shared" si="46"/>
        <v>0.84060407995157</v>
      </c>
      <c r="Q80" s="43">
        <f>E80*70</f>
        <v>140</v>
      </c>
      <c r="R80" s="43"/>
      <c r="S80" s="43">
        <f t="shared" si="47"/>
        <v>42900</v>
      </c>
      <c r="T80" s="43">
        <f t="shared" si="48"/>
        <v>9884.00556</v>
      </c>
      <c r="U80" s="38">
        <v>14300</v>
      </c>
      <c r="V80" s="39">
        <v>3294.66852</v>
      </c>
      <c r="W80" s="40">
        <f t="shared" si="49"/>
        <v>0.2303964</v>
      </c>
      <c r="X80" s="40">
        <f t="shared" si="50"/>
        <v>0.932852214452214</v>
      </c>
      <c r="Y80" s="40">
        <f t="shared" si="51"/>
        <v>0.849095030254111</v>
      </c>
      <c r="Z80" s="43"/>
      <c r="AA80" s="43"/>
      <c r="AB80" s="47">
        <f>VLOOKUP(B80,[2]查询时间段分门店销售汇总!$D$3:$L$145,9,0)</f>
        <v>17792.46</v>
      </c>
      <c r="AC80" s="47">
        <f>VLOOKUP(B80,[2]查询时间段分门店销售汇总!$D$3:$M$145,10,0)</f>
        <v>4586.11</v>
      </c>
      <c r="AD80" s="48">
        <f t="shared" si="52"/>
        <v>34320</v>
      </c>
      <c r="AE80" s="48">
        <f t="shared" si="53"/>
        <v>9884.00556</v>
      </c>
      <c r="AF80" s="49">
        <v>8580</v>
      </c>
      <c r="AG80" s="49">
        <v>2471.00139</v>
      </c>
      <c r="AH80" s="53">
        <f t="shared" si="54"/>
        <v>0.2879955</v>
      </c>
      <c r="AI80" s="53">
        <f t="shared" si="55"/>
        <v>0.518428321678322</v>
      </c>
      <c r="AJ80" s="53">
        <f t="shared" si="56"/>
        <v>0.463993061533648</v>
      </c>
      <c r="AK80" s="48"/>
      <c r="AL80" s="48">
        <f t="shared" si="57"/>
        <v>42900</v>
      </c>
      <c r="AM80" s="48">
        <f t="shared" si="58"/>
        <v>11366.606394</v>
      </c>
      <c r="AN80" s="54">
        <f t="shared" si="59"/>
        <v>0.414742657342657</v>
      </c>
      <c r="AO80" s="54">
        <f t="shared" si="60"/>
        <v>0.403472227420564</v>
      </c>
      <c r="AP80" s="49"/>
      <c r="AQ80" s="49">
        <v>10725</v>
      </c>
      <c r="AR80" s="49">
        <v>2841.6515985</v>
      </c>
      <c r="AS80" s="53">
        <f t="shared" si="61"/>
        <v>0.26495586</v>
      </c>
      <c r="AT80" s="125">
        <f t="shared" si="62"/>
        <v>140</v>
      </c>
      <c r="AU80" s="57">
        <v>40</v>
      </c>
      <c r="AV80" s="128">
        <f>VLOOKUP(B80,[4]门店奖励金额汇总!$A:$D,4,0)</f>
        <v>40</v>
      </c>
      <c r="AW80" s="76">
        <f>AV80*4</f>
        <v>160</v>
      </c>
    </row>
    <row r="81" spans="1:49">
      <c r="A81" s="23">
        <v>79</v>
      </c>
      <c r="B81" s="24">
        <v>743</v>
      </c>
      <c r="C81" s="24" t="s">
        <v>119</v>
      </c>
      <c r="D81" s="24" t="s">
        <v>107</v>
      </c>
      <c r="E81" s="123">
        <f>VLOOKUP(B81,[3]正式员工人数!$A:$C,3,0)</f>
        <v>1</v>
      </c>
      <c r="F81" s="32">
        <v>5</v>
      </c>
      <c r="G81" s="32">
        <v>100</v>
      </c>
      <c r="H81" s="28">
        <f>VLOOKUP(B81,[1]查询时间段分门店销售汇总!$D$3:$L$145,9,0)</f>
        <v>32374.5</v>
      </c>
      <c r="I81" s="28">
        <f>VLOOKUP(B81,[1]查询时间段分门店销售汇总!$D$3:$M$145,10,0)</f>
        <v>7431.87</v>
      </c>
      <c r="J81" s="32">
        <f t="shared" si="42"/>
        <v>36750</v>
      </c>
      <c r="K81" s="32">
        <f t="shared" si="43"/>
        <v>9172.8</v>
      </c>
      <c r="L81" s="38">
        <v>12250</v>
      </c>
      <c r="M81" s="39">
        <v>3057.6</v>
      </c>
      <c r="N81" s="40">
        <f t="shared" si="44"/>
        <v>0.2496</v>
      </c>
      <c r="O81" s="40">
        <f t="shared" si="45"/>
        <v>0.880938775510204</v>
      </c>
      <c r="P81" s="40">
        <f t="shared" si="46"/>
        <v>0.810207352171638</v>
      </c>
      <c r="Q81" s="43"/>
      <c r="R81" s="43"/>
      <c r="S81" s="43">
        <f t="shared" si="47"/>
        <v>40425</v>
      </c>
      <c r="T81" s="43">
        <f t="shared" si="48"/>
        <v>9081.072</v>
      </c>
      <c r="U81" s="38">
        <v>13475</v>
      </c>
      <c r="V81" s="39">
        <v>3027.024</v>
      </c>
      <c r="W81" s="40">
        <f t="shared" si="49"/>
        <v>0.22464</v>
      </c>
      <c r="X81" s="40">
        <f t="shared" si="50"/>
        <v>0.800853432282004</v>
      </c>
      <c r="Y81" s="40">
        <f t="shared" si="51"/>
        <v>0.818391264819836</v>
      </c>
      <c r="Z81" s="43"/>
      <c r="AA81" s="43"/>
      <c r="AB81" s="47">
        <f>VLOOKUP(B81,[2]查询时间段分门店销售汇总!$D$3:$L$145,9,0)</f>
        <v>30102.93</v>
      </c>
      <c r="AC81" s="47">
        <f>VLOOKUP(B81,[2]查询时间段分门店销售汇总!$D$3:$M$145,10,0)</f>
        <v>7814.76</v>
      </c>
      <c r="AD81" s="48">
        <f t="shared" si="52"/>
        <v>32340</v>
      </c>
      <c r="AE81" s="48">
        <f t="shared" si="53"/>
        <v>9081.072</v>
      </c>
      <c r="AF81" s="49">
        <v>8085</v>
      </c>
      <c r="AG81" s="49">
        <v>2270.268</v>
      </c>
      <c r="AH81" s="53">
        <f t="shared" si="54"/>
        <v>0.2808</v>
      </c>
      <c r="AI81" s="53">
        <f t="shared" si="55"/>
        <v>0.930826530612245</v>
      </c>
      <c r="AJ81" s="53">
        <f t="shared" si="56"/>
        <v>0.860554789126218</v>
      </c>
      <c r="AK81" s="48"/>
      <c r="AL81" s="48">
        <f t="shared" si="57"/>
        <v>40425</v>
      </c>
      <c r="AM81" s="48">
        <f t="shared" si="58"/>
        <v>10443.2328</v>
      </c>
      <c r="AN81" s="54">
        <f t="shared" si="59"/>
        <v>0.744661224489796</v>
      </c>
      <c r="AO81" s="54">
        <f t="shared" si="60"/>
        <v>0.748308512283668</v>
      </c>
      <c r="AP81" s="49"/>
      <c r="AQ81" s="49">
        <v>10106.25</v>
      </c>
      <c r="AR81" s="49">
        <v>2610.8082</v>
      </c>
      <c r="AS81" s="53">
        <f t="shared" si="61"/>
        <v>0.258336</v>
      </c>
      <c r="AT81" s="125">
        <f t="shared" si="62"/>
        <v>0</v>
      </c>
      <c r="AU81" s="57">
        <v>40</v>
      </c>
      <c r="AV81" s="128">
        <f>VLOOKUP(B81,[4]门店奖励金额汇总!$A:$D,4,0)</f>
        <v>70</v>
      </c>
      <c r="AW81" s="76">
        <f>AV81*4</f>
        <v>280</v>
      </c>
    </row>
    <row r="82" spans="1:48">
      <c r="A82" s="23">
        <v>80</v>
      </c>
      <c r="B82" s="24">
        <v>573</v>
      </c>
      <c r="C82" s="24" t="s">
        <v>120</v>
      </c>
      <c r="D82" s="24" t="s">
        <v>107</v>
      </c>
      <c r="E82" s="123">
        <f>VLOOKUP(B82,[3]正式员工人数!$A:$C,3,0)</f>
        <v>2</v>
      </c>
      <c r="F82" s="32">
        <v>6</v>
      </c>
      <c r="G82" s="32">
        <v>100</v>
      </c>
      <c r="H82" s="28">
        <f>VLOOKUP(B82,[1]查询时间段分门店销售汇总!$D$3:$L$145,9,0)</f>
        <v>27764.67</v>
      </c>
      <c r="I82" s="28">
        <f>VLOOKUP(B82,[1]查询时间段分门店销售汇总!$D$3:$M$145,10,0)</f>
        <v>4920.98</v>
      </c>
      <c r="J82" s="32">
        <f t="shared" si="42"/>
        <v>28800</v>
      </c>
      <c r="K82" s="32">
        <f t="shared" si="43"/>
        <v>6247.2384</v>
      </c>
      <c r="L82" s="38">
        <v>9600</v>
      </c>
      <c r="M82" s="39">
        <v>2082.4128</v>
      </c>
      <c r="N82" s="40">
        <f t="shared" si="44"/>
        <v>0.216918</v>
      </c>
      <c r="O82" s="40">
        <f t="shared" si="45"/>
        <v>0.964051041666667</v>
      </c>
      <c r="P82" s="40">
        <f t="shared" si="46"/>
        <v>0.787704852115136</v>
      </c>
      <c r="Q82" s="43"/>
      <c r="R82" s="43"/>
      <c r="S82" s="43">
        <f t="shared" si="47"/>
        <v>31680</v>
      </c>
      <c r="T82" s="43">
        <f t="shared" si="48"/>
        <v>6184.766016</v>
      </c>
      <c r="U82" s="38">
        <v>10560</v>
      </c>
      <c r="V82" s="39">
        <v>2061.588672</v>
      </c>
      <c r="W82" s="40">
        <f t="shared" si="49"/>
        <v>0.1952262</v>
      </c>
      <c r="X82" s="40">
        <f t="shared" si="50"/>
        <v>0.876410037878788</v>
      </c>
      <c r="Y82" s="40">
        <f t="shared" si="51"/>
        <v>0.795661466782966</v>
      </c>
      <c r="Z82" s="43"/>
      <c r="AA82" s="43"/>
      <c r="AB82" s="47">
        <f>VLOOKUP(B82,[2]查询时间段分门店销售汇总!$D$3:$L$145,9,0)</f>
        <v>22297.64</v>
      </c>
      <c r="AC82" s="47">
        <f>VLOOKUP(B82,[2]查询时间段分门店销售汇总!$D$3:$M$145,10,0)</f>
        <v>6487.15</v>
      </c>
      <c r="AD82" s="48">
        <f t="shared" si="52"/>
        <v>25344</v>
      </c>
      <c r="AE82" s="48">
        <f t="shared" si="53"/>
        <v>6184.766016</v>
      </c>
      <c r="AF82" s="49">
        <v>6336</v>
      </c>
      <c r="AG82" s="49">
        <v>1546.191504</v>
      </c>
      <c r="AH82" s="53">
        <f t="shared" si="54"/>
        <v>0.24403275</v>
      </c>
      <c r="AI82" s="53">
        <f t="shared" si="55"/>
        <v>0.879799558080808</v>
      </c>
      <c r="AJ82" s="53">
        <f t="shared" si="56"/>
        <v>1.04889174193781</v>
      </c>
      <c r="AK82" s="48"/>
      <c r="AL82" s="48">
        <f t="shared" si="57"/>
        <v>31680</v>
      </c>
      <c r="AM82" s="48">
        <f t="shared" si="58"/>
        <v>7112.4809184</v>
      </c>
      <c r="AN82" s="54">
        <f t="shared" si="59"/>
        <v>0.703839646464646</v>
      </c>
      <c r="AO82" s="54">
        <f t="shared" si="60"/>
        <v>0.912079775598094</v>
      </c>
      <c r="AP82" s="49"/>
      <c r="AQ82" s="49">
        <v>7920</v>
      </c>
      <c r="AR82" s="49">
        <v>1778.1202296</v>
      </c>
      <c r="AS82" s="53">
        <f t="shared" si="61"/>
        <v>0.22451013</v>
      </c>
      <c r="AT82" s="125">
        <f t="shared" si="62"/>
        <v>0</v>
      </c>
      <c r="AU82" s="57">
        <v>40</v>
      </c>
      <c r="AV82" s="118">
        <f>VLOOKUP(B82,[4]门店奖励金额汇总!$A:$D,4,0)</f>
        <v>33</v>
      </c>
    </row>
    <row r="83" spans="1:49">
      <c r="A83" s="23">
        <v>81</v>
      </c>
      <c r="B83" s="24">
        <v>740</v>
      </c>
      <c r="C83" s="24" t="s">
        <v>121</v>
      </c>
      <c r="D83" s="24" t="s">
        <v>107</v>
      </c>
      <c r="E83" s="123">
        <f>VLOOKUP(B83,[3]正式员工人数!$A:$C,3,0)</f>
        <v>3</v>
      </c>
      <c r="F83" s="32">
        <v>6</v>
      </c>
      <c r="G83" s="32">
        <v>100</v>
      </c>
      <c r="H83" s="28">
        <f>VLOOKUP(B83,[1]查询时间段分门店销售汇总!$D$3:$L$145,9,0)</f>
        <v>31318.04</v>
      </c>
      <c r="I83" s="28">
        <f>VLOOKUP(B83,[1]查询时间段分门店销售汇总!$D$3:$M$145,10,0)</f>
        <v>7826.52</v>
      </c>
      <c r="J83" s="32">
        <f t="shared" si="42"/>
        <v>28800</v>
      </c>
      <c r="K83" s="32">
        <f t="shared" si="43"/>
        <v>7806.24</v>
      </c>
      <c r="L83" s="38">
        <v>9600</v>
      </c>
      <c r="M83" s="39">
        <v>2602.08</v>
      </c>
      <c r="N83" s="40">
        <f t="shared" si="44"/>
        <v>0.27105</v>
      </c>
      <c r="O83" s="41">
        <f t="shared" si="45"/>
        <v>1.08743194444444</v>
      </c>
      <c r="P83" s="41">
        <f t="shared" si="46"/>
        <v>1.00259792166267</v>
      </c>
      <c r="Q83" s="43">
        <f>E83*70</f>
        <v>210</v>
      </c>
      <c r="R83" s="43"/>
      <c r="S83" s="43">
        <f t="shared" si="47"/>
        <v>31680</v>
      </c>
      <c r="T83" s="43">
        <f t="shared" si="48"/>
        <v>7728.1776</v>
      </c>
      <c r="U83" s="38">
        <v>10560</v>
      </c>
      <c r="V83" s="39">
        <v>2576.0592</v>
      </c>
      <c r="W83" s="40">
        <f t="shared" si="49"/>
        <v>0.243945</v>
      </c>
      <c r="X83" s="40">
        <f t="shared" si="50"/>
        <v>0.988574494949495</v>
      </c>
      <c r="Y83" s="41">
        <f t="shared" si="51"/>
        <v>1.01272517339664</v>
      </c>
      <c r="Z83" s="43"/>
      <c r="AA83" s="43"/>
      <c r="AB83" s="47">
        <f>VLOOKUP(B83,[2]查询时间段分门店销售汇总!$D$3:$L$145,9,0)</f>
        <v>20251.46</v>
      </c>
      <c r="AC83" s="47">
        <f>VLOOKUP(B83,[2]查询时间段分门店销售汇总!$D$3:$M$145,10,0)</f>
        <v>3913.3</v>
      </c>
      <c r="AD83" s="48">
        <f t="shared" si="52"/>
        <v>25344</v>
      </c>
      <c r="AE83" s="48">
        <f t="shared" si="53"/>
        <v>7728.1776</v>
      </c>
      <c r="AF83" s="49">
        <v>6336</v>
      </c>
      <c r="AG83" s="49">
        <v>1932.0444</v>
      </c>
      <c r="AH83" s="53">
        <f t="shared" si="54"/>
        <v>0.30493125</v>
      </c>
      <c r="AI83" s="53">
        <f t="shared" si="55"/>
        <v>0.799063289141414</v>
      </c>
      <c r="AJ83" s="53">
        <f t="shared" si="56"/>
        <v>0.506367762562807</v>
      </c>
      <c r="AK83" s="48"/>
      <c r="AL83" s="48">
        <f t="shared" si="57"/>
        <v>31680</v>
      </c>
      <c r="AM83" s="48">
        <f t="shared" si="58"/>
        <v>8887.40424</v>
      </c>
      <c r="AN83" s="54">
        <f t="shared" si="59"/>
        <v>0.639250631313131</v>
      </c>
      <c r="AO83" s="54">
        <f t="shared" si="60"/>
        <v>0.440319793532875</v>
      </c>
      <c r="AP83" s="49"/>
      <c r="AQ83" s="49">
        <v>7920</v>
      </c>
      <c r="AR83" s="49">
        <v>2221.85106</v>
      </c>
      <c r="AS83" s="53">
        <f t="shared" si="61"/>
        <v>0.28053675</v>
      </c>
      <c r="AT83" s="125">
        <f t="shared" si="62"/>
        <v>210</v>
      </c>
      <c r="AU83" s="57">
        <v>40</v>
      </c>
      <c r="AV83" s="128">
        <f>VLOOKUP(B83,[4]门店奖励金额汇总!$A:$D,4,0)</f>
        <v>84</v>
      </c>
      <c r="AW83" s="76">
        <f>AV83*4</f>
        <v>336</v>
      </c>
    </row>
    <row r="84" spans="1:48">
      <c r="A84" s="23">
        <v>82</v>
      </c>
      <c r="B84" s="24">
        <v>733</v>
      </c>
      <c r="C84" s="24" t="s">
        <v>122</v>
      </c>
      <c r="D84" s="24" t="s">
        <v>107</v>
      </c>
      <c r="E84" s="123">
        <f>VLOOKUP(B84,[3]正式员工人数!$A:$C,3,0)</f>
        <v>3</v>
      </c>
      <c r="F84" s="32">
        <v>7</v>
      </c>
      <c r="G84" s="32">
        <v>100</v>
      </c>
      <c r="H84" s="28">
        <f>VLOOKUP(B84,[1]查询时间段分门店销售汇总!$D$3:$L$145,9,0)</f>
        <v>20070.6</v>
      </c>
      <c r="I84" s="28">
        <f>VLOOKUP(B84,[1]查询时间段分门店销售汇总!$D$3:$M$145,10,0)</f>
        <v>5070.96</v>
      </c>
      <c r="J84" s="32">
        <f t="shared" si="42"/>
        <v>27360</v>
      </c>
      <c r="K84" s="32">
        <f t="shared" si="43"/>
        <v>7418.06208</v>
      </c>
      <c r="L84" s="38">
        <v>9120</v>
      </c>
      <c r="M84" s="39">
        <v>2472.68736</v>
      </c>
      <c r="N84" s="40">
        <f t="shared" si="44"/>
        <v>0.271128</v>
      </c>
      <c r="O84" s="40">
        <f t="shared" si="45"/>
        <v>0.733574561403509</v>
      </c>
      <c r="P84" s="40">
        <f t="shared" si="46"/>
        <v>0.683596328166615</v>
      </c>
      <c r="Q84" s="43"/>
      <c r="R84" s="43"/>
      <c r="S84" s="43">
        <f t="shared" si="47"/>
        <v>30096</v>
      </c>
      <c r="T84" s="43">
        <f t="shared" si="48"/>
        <v>7343.8814592</v>
      </c>
      <c r="U84" s="38">
        <v>10032</v>
      </c>
      <c r="V84" s="39">
        <v>2447.9604864</v>
      </c>
      <c r="W84" s="40">
        <f t="shared" si="49"/>
        <v>0.2440152</v>
      </c>
      <c r="X84" s="40">
        <f t="shared" si="50"/>
        <v>0.666885964912281</v>
      </c>
      <c r="Y84" s="40">
        <f t="shared" si="51"/>
        <v>0.690501341582439</v>
      </c>
      <c r="Z84" s="43"/>
      <c r="AA84" s="43"/>
      <c r="AB84" s="47">
        <f>VLOOKUP(B84,[2]查询时间段分门店销售汇总!$D$3:$L$145,9,0)</f>
        <v>18320.31</v>
      </c>
      <c r="AC84" s="47">
        <f>VLOOKUP(B84,[2]查询时间段分门店销售汇总!$D$3:$M$145,10,0)</f>
        <v>5352.07</v>
      </c>
      <c r="AD84" s="48">
        <f t="shared" si="52"/>
        <v>24076.8</v>
      </c>
      <c r="AE84" s="48">
        <f t="shared" si="53"/>
        <v>7343.8814592</v>
      </c>
      <c r="AF84" s="49">
        <v>6019.2</v>
      </c>
      <c r="AG84" s="49">
        <v>1835.9703648</v>
      </c>
      <c r="AH84" s="53">
        <f t="shared" si="54"/>
        <v>0.305019</v>
      </c>
      <c r="AI84" s="53">
        <f t="shared" si="55"/>
        <v>0.760911333732058</v>
      </c>
      <c r="AJ84" s="53">
        <f t="shared" si="56"/>
        <v>0.728779464883005</v>
      </c>
      <c r="AK84" s="48"/>
      <c r="AL84" s="48">
        <f t="shared" si="57"/>
        <v>30096</v>
      </c>
      <c r="AM84" s="48">
        <f t="shared" si="58"/>
        <v>8445.46367808</v>
      </c>
      <c r="AN84" s="54">
        <f t="shared" si="59"/>
        <v>0.608729066985646</v>
      </c>
      <c r="AO84" s="54">
        <f t="shared" si="60"/>
        <v>0.633721273811309</v>
      </c>
      <c r="AP84" s="49"/>
      <c r="AQ84" s="49">
        <v>7524</v>
      </c>
      <c r="AR84" s="49">
        <v>2111.36591952</v>
      </c>
      <c r="AS84" s="53">
        <f t="shared" si="61"/>
        <v>0.28061748</v>
      </c>
      <c r="AT84" s="125">
        <f t="shared" si="62"/>
        <v>0</v>
      </c>
      <c r="AU84" s="57">
        <v>40</v>
      </c>
      <c r="AV84" s="118">
        <f>VLOOKUP(B84,[4]门店奖励金额汇总!$A:$D,4,0)</f>
        <v>35</v>
      </c>
    </row>
    <row r="85" spans="1:48">
      <c r="A85" s="23">
        <v>83</v>
      </c>
      <c r="B85" s="24">
        <v>122198</v>
      </c>
      <c r="C85" s="24" t="s">
        <v>123</v>
      </c>
      <c r="D85" s="24" t="s">
        <v>107</v>
      </c>
      <c r="E85" s="123">
        <f>VLOOKUP(B85,[3]正式员工人数!$A:$C,3,0)</f>
        <v>2</v>
      </c>
      <c r="F85" s="32">
        <v>7</v>
      </c>
      <c r="G85" s="32">
        <v>100</v>
      </c>
      <c r="H85" s="28">
        <f>VLOOKUP(B85,[1]查询时间段分门店销售汇总!$D$3:$L$145,9,0)</f>
        <v>24066.41</v>
      </c>
      <c r="I85" s="28">
        <f>VLOOKUP(B85,[1]查询时间段分门店销售汇总!$D$3:$M$145,10,0)</f>
        <v>5295.24</v>
      </c>
      <c r="J85" s="32">
        <f t="shared" si="42"/>
        <v>27360</v>
      </c>
      <c r="K85" s="32">
        <f t="shared" si="43"/>
        <v>4908.384</v>
      </c>
      <c r="L85" s="38">
        <v>9120</v>
      </c>
      <c r="M85" s="39">
        <v>1636.128</v>
      </c>
      <c r="N85" s="40">
        <f t="shared" si="44"/>
        <v>0.1794</v>
      </c>
      <c r="O85" s="40">
        <f t="shared" si="45"/>
        <v>0.879620248538012</v>
      </c>
      <c r="P85" s="41">
        <f t="shared" si="46"/>
        <v>1.07881534941031</v>
      </c>
      <c r="Q85" s="43"/>
      <c r="R85" s="43"/>
      <c r="S85" s="43">
        <f t="shared" si="47"/>
        <v>30096</v>
      </c>
      <c r="T85" s="43">
        <f t="shared" si="48"/>
        <v>4859.30016</v>
      </c>
      <c r="U85" s="38">
        <v>10032</v>
      </c>
      <c r="V85" s="39">
        <v>1619.76672</v>
      </c>
      <c r="W85" s="40">
        <f t="shared" si="49"/>
        <v>0.16146</v>
      </c>
      <c r="X85" s="40">
        <f t="shared" si="50"/>
        <v>0.799654771398192</v>
      </c>
      <c r="Y85" s="41">
        <f t="shared" si="51"/>
        <v>1.08971247415183</v>
      </c>
      <c r="Z85" s="43"/>
      <c r="AA85" s="43"/>
      <c r="AB85" s="47">
        <f>VLOOKUP(B85,[2]查询时间段分门店销售汇总!$D$3:$L$145,9,0)</f>
        <v>21550.42</v>
      </c>
      <c r="AC85" s="47">
        <f>VLOOKUP(B85,[2]查询时间段分门店销售汇总!$D$3:$M$145,10,0)</f>
        <v>4477.08</v>
      </c>
      <c r="AD85" s="48">
        <f t="shared" si="52"/>
        <v>24076.8</v>
      </c>
      <c r="AE85" s="48">
        <f t="shared" si="53"/>
        <v>4859.30016</v>
      </c>
      <c r="AF85" s="49">
        <v>6019.2</v>
      </c>
      <c r="AG85" s="49">
        <v>1214.82504</v>
      </c>
      <c r="AH85" s="53">
        <f t="shared" si="54"/>
        <v>0.201825</v>
      </c>
      <c r="AI85" s="53">
        <f t="shared" si="55"/>
        <v>0.895069942849548</v>
      </c>
      <c r="AJ85" s="53">
        <f t="shared" si="56"/>
        <v>0.921342549870391</v>
      </c>
      <c r="AK85" s="48"/>
      <c r="AL85" s="48">
        <f t="shared" si="57"/>
        <v>30096</v>
      </c>
      <c r="AM85" s="48">
        <f t="shared" si="58"/>
        <v>5588.195184</v>
      </c>
      <c r="AN85" s="54">
        <f t="shared" si="59"/>
        <v>0.716055954279638</v>
      </c>
      <c r="AO85" s="54">
        <f t="shared" si="60"/>
        <v>0.801167434669905</v>
      </c>
      <c r="AP85" s="49"/>
      <c r="AQ85" s="49">
        <v>7524</v>
      </c>
      <c r="AR85" s="49">
        <v>1397.048796</v>
      </c>
      <c r="AS85" s="53">
        <f t="shared" si="61"/>
        <v>0.185679</v>
      </c>
      <c r="AT85" s="125">
        <f t="shared" si="62"/>
        <v>0</v>
      </c>
      <c r="AU85" s="57">
        <v>40</v>
      </c>
      <c r="AV85" s="118">
        <f>VLOOKUP(B85,[4]门店奖励金额汇总!$A:$D,4,0)</f>
        <v>32</v>
      </c>
    </row>
    <row r="86" spans="1:49">
      <c r="A86" s="23">
        <v>84</v>
      </c>
      <c r="B86" s="24">
        <v>104430</v>
      </c>
      <c r="C86" s="24" t="s">
        <v>124</v>
      </c>
      <c r="D86" s="24" t="s">
        <v>107</v>
      </c>
      <c r="E86" s="123">
        <f>VLOOKUP(B86,[3]正式员工人数!$A:$C,3,0)</f>
        <v>3</v>
      </c>
      <c r="F86" s="32">
        <v>7</v>
      </c>
      <c r="G86" s="32">
        <v>100</v>
      </c>
      <c r="H86" s="28">
        <f>VLOOKUP(B86,[1]查询时间段分门店销售汇总!$D$3:$L$145,9,0)</f>
        <v>23613.27</v>
      </c>
      <c r="I86" s="28">
        <f>VLOOKUP(B86,[1]查询时间段分门店销售汇总!$D$3:$M$145,10,0)</f>
        <v>3498.58</v>
      </c>
      <c r="J86" s="32">
        <f t="shared" si="42"/>
        <v>28080</v>
      </c>
      <c r="K86" s="32">
        <f t="shared" si="43"/>
        <v>6951.82176</v>
      </c>
      <c r="L86" s="38">
        <v>9360</v>
      </c>
      <c r="M86" s="39">
        <v>2317.27392</v>
      </c>
      <c r="N86" s="40">
        <f t="shared" si="44"/>
        <v>0.247572</v>
      </c>
      <c r="O86" s="40">
        <f t="shared" si="45"/>
        <v>0.840928418803419</v>
      </c>
      <c r="P86" s="40">
        <f t="shared" si="46"/>
        <v>0.503260889128435</v>
      </c>
      <c r="Q86" s="43"/>
      <c r="R86" s="43"/>
      <c r="S86" s="43">
        <f t="shared" si="47"/>
        <v>30888</v>
      </c>
      <c r="T86" s="43">
        <f t="shared" si="48"/>
        <v>6882.3035424</v>
      </c>
      <c r="U86" s="38">
        <v>10296</v>
      </c>
      <c r="V86" s="39">
        <v>2294.1011808</v>
      </c>
      <c r="W86" s="40">
        <f t="shared" si="49"/>
        <v>0.2228148</v>
      </c>
      <c r="X86" s="40">
        <f t="shared" si="50"/>
        <v>0.764480380730381</v>
      </c>
      <c r="Y86" s="40">
        <f t="shared" si="51"/>
        <v>0.508344332452964</v>
      </c>
      <c r="Z86" s="43"/>
      <c r="AA86" s="43"/>
      <c r="AB86" s="47">
        <f>VLOOKUP(B86,[2]查询时间段分门店销售汇总!$D$3:$L$145,9,0)</f>
        <v>22581.81</v>
      </c>
      <c r="AC86" s="47">
        <f>VLOOKUP(B86,[2]查询时间段分门店销售汇总!$D$3:$M$145,10,0)</f>
        <v>3114.46</v>
      </c>
      <c r="AD86" s="48">
        <f t="shared" si="52"/>
        <v>24710.4</v>
      </c>
      <c r="AE86" s="48">
        <f t="shared" si="53"/>
        <v>6882.3035424</v>
      </c>
      <c r="AF86" s="49">
        <v>6177.6</v>
      </c>
      <c r="AG86" s="49">
        <v>1720.5758856</v>
      </c>
      <c r="AH86" s="53">
        <f t="shared" si="54"/>
        <v>0.2785185</v>
      </c>
      <c r="AI86" s="53">
        <f t="shared" si="55"/>
        <v>0.913858537296037</v>
      </c>
      <c r="AJ86" s="53">
        <f t="shared" si="56"/>
        <v>0.452531624159362</v>
      </c>
      <c r="AK86" s="48"/>
      <c r="AL86" s="48">
        <f t="shared" si="57"/>
        <v>30888</v>
      </c>
      <c r="AM86" s="48">
        <f t="shared" si="58"/>
        <v>7914.64907376</v>
      </c>
      <c r="AN86" s="54">
        <f t="shared" si="59"/>
        <v>0.73108682983683</v>
      </c>
      <c r="AO86" s="54">
        <f t="shared" si="60"/>
        <v>0.393505760138575</v>
      </c>
      <c r="AP86" s="49"/>
      <c r="AQ86" s="49">
        <v>7722</v>
      </c>
      <c r="AR86" s="49">
        <v>1978.66226844</v>
      </c>
      <c r="AS86" s="53">
        <f t="shared" si="61"/>
        <v>0.25623702</v>
      </c>
      <c r="AT86" s="125">
        <f t="shared" si="62"/>
        <v>0</v>
      </c>
      <c r="AU86" s="57">
        <v>40</v>
      </c>
      <c r="AV86" s="128">
        <f>VLOOKUP(B86,[4]门店奖励金额汇总!$A:$D,4,0)</f>
        <v>41</v>
      </c>
      <c r="AW86" s="76">
        <f>AV86*4</f>
        <v>164</v>
      </c>
    </row>
    <row r="87" spans="1:48">
      <c r="A87" s="23">
        <v>85</v>
      </c>
      <c r="B87" s="24">
        <v>114069</v>
      </c>
      <c r="C87" s="24" t="s">
        <v>125</v>
      </c>
      <c r="D87" s="24" t="s">
        <v>107</v>
      </c>
      <c r="E87" s="123">
        <f>VLOOKUP(B87,[3]正式员工人数!$A:$C,3,0)</f>
        <v>2</v>
      </c>
      <c r="F87" s="32">
        <v>8</v>
      </c>
      <c r="G87" s="32">
        <v>50</v>
      </c>
      <c r="H87" s="28">
        <v>0</v>
      </c>
      <c r="I87" s="28">
        <v>0</v>
      </c>
      <c r="J87" s="32">
        <f t="shared" si="42"/>
        <v>20160</v>
      </c>
      <c r="K87" s="32">
        <f t="shared" si="43"/>
        <v>5352.72192</v>
      </c>
      <c r="L87" s="38">
        <v>6720</v>
      </c>
      <c r="M87" s="39">
        <v>1784.24064</v>
      </c>
      <c r="N87" s="40">
        <f t="shared" si="44"/>
        <v>0.265512</v>
      </c>
      <c r="O87" s="40">
        <f t="shared" si="45"/>
        <v>0</v>
      </c>
      <c r="P87" s="40">
        <f t="shared" si="46"/>
        <v>0</v>
      </c>
      <c r="Q87" s="43"/>
      <c r="R87" s="43"/>
      <c r="S87" s="43">
        <f t="shared" si="47"/>
        <v>22176</v>
      </c>
      <c r="T87" s="43">
        <f t="shared" si="48"/>
        <v>5299.1947008</v>
      </c>
      <c r="U87" s="38">
        <v>7392</v>
      </c>
      <c r="V87" s="39">
        <v>1766.3982336</v>
      </c>
      <c r="W87" s="40">
        <f t="shared" si="49"/>
        <v>0.2389608</v>
      </c>
      <c r="X87" s="40">
        <f t="shared" si="50"/>
        <v>0</v>
      </c>
      <c r="Y87" s="40">
        <f t="shared" si="51"/>
        <v>0</v>
      </c>
      <c r="Z87" s="43"/>
      <c r="AA87" s="43"/>
      <c r="AB87" s="47">
        <v>0</v>
      </c>
      <c r="AC87" s="47">
        <v>0</v>
      </c>
      <c r="AD87" s="48">
        <f t="shared" si="52"/>
        <v>17740.8</v>
      </c>
      <c r="AE87" s="48">
        <f t="shared" si="53"/>
        <v>5299.1947008</v>
      </c>
      <c r="AF87" s="49">
        <v>4435.2</v>
      </c>
      <c r="AG87" s="49">
        <v>1324.7986752</v>
      </c>
      <c r="AH87" s="53">
        <f t="shared" si="54"/>
        <v>0.298701</v>
      </c>
      <c r="AI87" s="53">
        <f t="shared" si="55"/>
        <v>0</v>
      </c>
      <c r="AJ87" s="53">
        <f t="shared" si="56"/>
        <v>0</v>
      </c>
      <c r="AK87" s="48"/>
      <c r="AL87" s="48">
        <f t="shared" si="57"/>
        <v>22176</v>
      </c>
      <c r="AM87" s="48">
        <f t="shared" si="58"/>
        <v>6094.07390592</v>
      </c>
      <c r="AN87" s="54">
        <f t="shared" si="59"/>
        <v>0</v>
      </c>
      <c r="AO87" s="54">
        <f t="shared" si="60"/>
        <v>0</v>
      </c>
      <c r="AP87" s="49"/>
      <c r="AQ87" s="49">
        <v>5544</v>
      </c>
      <c r="AR87" s="49">
        <v>1523.51847648</v>
      </c>
      <c r="AS87" s="53">
        <f t="shared" si="61"/>
        <v>0.27480492</v>
      </c>
      <c r="AT87" s="125">
        <f t="shared" si="62"/>
        <v>0</v>
      </c>
      <c r="AU87" s="57">
        <v>35</v>
      </c>
      <c r="AV87" s="118">
        <f>VLOOKUP(B87,[4]门店奖励金额汇总!$A:$D,4,0)</f>
        <v>4</v>
      </c>
    </row>
    <row r="88" spans="1:48">
      <c r="A88" s="23">
        <v>86</v>
      </c>
      <c r="B88" s="24">
        <v>106568</v>
      </c>
      <c r="C88" s="24" t="s">
        <v>126</v>
      </c>
      <c r="D88" s="24" t="s">
        <v>107</v>
      </c>
      <c r="E88" s="123">
        <f>VLOOKUP(B88,[3]正式员工人数!$A:$C,3,0)</f>
        <v>1</v>
      </c>
      <c r="F88" s="32">
        <v>8</v>
      </c>
      <c r="G88" s="32">
        <v>50</v>
      </c>
      <c r="H88" s="28">
        <f>VLOOKUP(B88,[1]查询时间段分门店销售汇总!$D$3:$L$145,9,0)</f>
        <v>26945.72</v>
      </c>
      <c r="I88" s="28">
        <f>VLOOKUP(B88,[1]查询时间段分门店销售汇总!$D$3:$M$145,10,0)</f>
        <v>6056.29</v>
      </c>
      <c r="J88" s="32">
        <f t="shared" si="42"/>
        <v>21000</v>
      </c>
      <c r="K88" s="32">
        <f t="shared" si="43"/>
        <v>5280.912</v>
      </c>
      <c r="L88" s="38">
        <v>7000</v>
      </c>
      <c r="M88" s="39">
        <v>1760.304</v>
      </c>
      <c r="N88" s="40">
        <f t="shared" si="44"/>
        <v>0.251472</v>
      </c>
      <c r="O88" s="41">
        <f t="shared" si="45"/>
        <v>1.28312952380952</v>
      </c>
      <c r="P88" s="41">
        <f t="shared" si="46"/>
        <v>1.14682653299279</v>
      </c>
      <c r="Q88" s="43"/>
      <c r="R88" s="43"/>
      <c r="S88" s="43">
        <f t="shared" si="47"/>
        <v>23100</v>
      </c>
      <c r="T88" s="43">
        <f t="shared" si="48"/>
        <v>5228.10288</v>
      </c>
      <c r="U88" s="38">
        <v>7700</v>
      </c>
      <c r="V88" s="39">
        <v>1742.70096</v>
      </c>
      <c r="W88" s="40">
        <f t="shared" si="49"/>
        <v>0.2263248</v>
      </c>
      <c r="X88" s="41">
        <f t="shared" si="50"/>
        <v>1.16648138528139</v>
      </c>
      <c r="Y88" s="41">
        <f t="shared" si="51"/>
        <v>1.15841063938665</v>
      </c>
      <c r="Z88" s="43">
        <f>150*E88</f>
        <v>150</v>
      </c>
      <c r="AA88" s="43">
        <f>(I88-K88)*0.3</f>
        <v>232.6134</v>
      </c>
      <c r="AB88" s="47">
        <f>VLOOKUP(B88,[2]查询时间段分门店销售汇总!$D$3:$L$145,9,0)</f>
        <v>22543.78</v>
      </c>
      <c r="AC88" s="47">
        <f>VLOOKUP(B88,[2]查询时间段分门店销售汇总!$D$3:$M$145,10,0)</f>
        <v>7003.41</v>
      </c>
      <c r="AD88" s="48">
        <f t="shared" si="52"/>
        <v>18480</v>
      </c>
      <c r="AE88" s="48">
        <f t="shared" si="53"/>
        <v>5228.10288</v>
      </c>
      <c r="AF88" s="49">
        <v>4620</v>
      </c>
      <c r="AG88" s="49">
        <v>1307.02572</v>
      </c>
      <c r="AH88" s="53">
        <f t="shared" si="54"/>
        <v>0.282906</v>
      </c>
      <c r="AI88" s="41">
        <f t="shared" si="55"/>
        <v>1.21990151515152</v>
      </c>
      <c r="AJ88" s="41">
        <f t="shared" si="56"/>
        <v>1.33957004304399</v>
      </c>
      <c r="AK88" s="48">
        <v>500</v>
      </c>
      <c r="AL88" s="48">
        <f t="shared" si="57"/>
        <v>23100</v>
      </c>
      <c r="AM88" s="48">
        <f t="shared" si="58"/>
        <v>6012.318312</v>
      </c>
      <c r="AN88" s="54">
        <f t="shared" si="59"/>
        <v>0.975921212121212</v>
      </c>
      <c r="AO88" s="54">
        <f t="shared" si="60"/>
        <v>1.16484351569042</v>
      </c>
      <c r="AP88" s="49"/>
      <c r="AQ88" s="49">
        <v>5775</v>
      </c>
      <c r="AR88" s="49">
        <v>1503.079578</v>
      </c>
      <c r="AS88" s="53">
        <f t="shared" si="61"/>
        <v>0.26027352</v>
      </c>
      <c r="AT88" s="125">
        <f t="shared" si="62"/>
        <v>882.6134</v>
      </c>
      <c r="AU88" s="57">
        <v>35</v>
      </c>
      <c r="AV88" s="118">
        <f>VLOOKUP(B88,[4]门店奖励金额汇总!$A:$D,4,0)</f>
        <v>34</v>
      </c>
    </row>
    <row r="89" spans="1:48">
      <c r="A89" s="23">
        <v>87</v>
      </c>
      <c r="B89" s="24">
        <v>118758</v>
      </c>
      <c r="C89" s="24" t="s">
        <v>127</v>
      </c>
      <c r="D89" s="24" t="s">
        <v>107</v>
      </c>
      <c r="E89" s="123">
        <f>VLOOKUP(B89,[3]正式员工人数!$A:$C,3,0)</f>
        <v>2</v>
      </c>
      <c r="F89" s="32">
        <v>8</v>
      </c>
      <c r="G89" s="32">
        <v>50</v>
      </c>
      <c r="H89" s="28">
        <f>VLOOKUP(B89,[1]查询时间段分门店销售汇总!$D$3:$L$145,9,0)</f>
        <v>14233.56</v>
      </c>
      <c r="I89" s="28">
        <f>VLOOKUP(B89,[1]查询时间段分门店销售汇总!$D$3:$M$145,10,0)</f>
        <v>1934.66</v>
      </c>
      <c r="J89" s="32">
        <f t="shared" si="42"/>
        <v>21000</v>
      </c>
      <c r="K89" s="32">
        <f t="shared" si="43"/>
        <v>4678.128</v>
      </c>
      <c r="L89" s="38">
        <v>7000</v>
      </c>
      <c r="M89" s="39">
        <v>1559.376</v>
      </c>
      <c r="N89" s="40">
        <f t="shared" si="44"/>
        <v>0.222768</v>
      </c>
      <c r="O89" s="40">
        <f t="shared" si="45"/>
        <v>0.677788571428571</v>
      </c>
      <c r="P89" s="40">
        <f t="shared" si="46"/>
        <v>0.413554310613134</v>
      </c>
      <c r="Q89" s="43"/>
      <c r="R89" s="43"/>
      <c r="S89" s="43">
        <f t="shared" si="47"/>
        <v>23100</v>
      </c>
      <c r="T89" s="43">
        <f t="shared" si="48"/>
        <v>4631.34672</v>
      </c>
      <c r="U89" s="38">
        <v>7700</v>
      </c>
      <c r="V89" s="39">
        <v>1543.78224</v>
      </c>
      <c r="W89" s="40">
        <f t="shared" si="49"/>
        <v>0.2004912</v>
      </c>
      <c r="X89" s="40">
        <f t="shared" si="50"/>
        <v>0.616171428571429</v>
      </c>
      <c r="Y89" s="40">
        <f t="shared" si="51"/>
        <v>0.417731626881954</v>
      </c>
      <c r="Z89" s="43"/>
      <c r="AA89" s="43"/>
      <c r="AB89" s="47">
        <f>VLOOKUP(B89,[2]查询时间段分门店销售汇总!$D$3:$L$145,9,0)</f>
        <v>10852.41</v>
      </c>
      <c r="AC89" s="47">
        <f>VLOOKUP(B89,[2]查询时间段分门店销售汇总!$D$3:$M$145,10,0)</f>
        <v>1951.31</v>
      </c>
      <c r="AD89" s="48">
        <f t="shared" si="52"/>
        <v>18480</v>
      </c>
      <c r="AE89" s="48">
        <f t="shared" si="53"/>
        <v>4631.34672</v>
      </c>
      <c r="AF89" s="49">
        <v>4620</v>
      </c>
      <c r="AG89" s="49">
        <v>1157.83668</v>
      </c>
      <c r="AH89" s="53">
        <f t="shared" si="54"/>
        <v>0.250614</v>
      </c>
      <c r="AI89" s="53">
        <f t="shared" si="55"/>
        <v>0.587251623376623</v>
      </c>
      <c r="AJ89" s="53">
        <f t="shared" si="56"/>
        <v>0.42132669350223</v>
      </c>
      <c r="AK89" s="48"/>
      <c r="AL89" s="48">
        <f t="shared" si="57"/>
        <v>23100</v>
      </c>
      <c r="AM89" s="48">
        <f t="shared" si="58"/>
        <v>5326.048728</v>
      </c>
      <c r="AN89" s="54">
        <f t="shared" si="59"/>
        <v>0.469801298701299</v>
      </c>
      <c r="AO89" s="54">
        <f t="shared" si="60"/>
        <v>0.366371037828026</v>
      </c>
      <c r="AP89" s="49"/>
      <c r="AQ89" s="49">
        <v>5775</v>
      </c>
      <c r="AR89" s="49">
        <v>1331.512182</v>
      </c>
      <c r="AS89" s="53">
        <f t="shared" si="61"/>
        <v>0.23056488</v>
      </c>
      <c r="AT89" s="125">
        <f t="shared" si="62"/>
        <v>0</v>
      </c>
      <c r="AU89" s="57">
        <v>35</v>
      </c>
      <c r="AV89" s="118">
        <f>VLOOKUP(B89,[4]门店奖励金额汇总!$A:$D,4,0)</f>
        <v>10</v>
      </c>
    </row>
    <row r="90" spans="1:48">
      <c r="A90" s="23">
        <v>88</v>
      </c>
      <c r="B90" s="24">
        <v>114848</v>
      </c>
      <c r="C90" s="24" t="s">
        <v>128</v>
      </c>
      <c r="D90" s="24" t="s">
        <v>107</v>
      </c>
      <c r="E90" s="123">
        <f>VLOOKUP(B90,[3]正式员工人数!$A:$C,3,0)</f>
        <v>1</v>
      </c>
      <c r="F90" s="32">
        <v>9</v>
      </c>
      <c r="G90" s="32">
        <v>50</v>
      </c>
      <c r="H90" s="28">
        <f>VLOOKUP(B90,[1]查询时间段分门店销售汇总!$D$3:$L$145,9,0)</f>
        <v>-3216</v>
      </c>
      <c r="I90" s="28">
        <f>VLOOKUP(B90,[1]查询时间段分门店销售汇总!$D$3:$M$145,10,0)</f>
        <v>-1286.4</v>
      </c>
      <c r="J90" s="32">
        <f t="shared" si="42"/>
        <v>14400</v>
      </c>
      <c r="K90" s="32">
        <f t="shared" si="43"/>
        <v>2808</v>
      </c>
      <c r="L90" s="38">
        <v>4800</v>
      </c>
      <c r="M90" s="39">
        <v>936</v>
      </c>
      <c r="N90" s="40">
        <f t="shared" si="44"/>
        <v>0.195</v>
      </c>
      <c r="O90" s="40">
        <f t="shared" si="45"/>
        <v>-0.223333333333333</v>
      </c>
      <c r="P90" s="40">
        <f t="shared" si="46"/>
        <v>-0.458119658119658</v>
      </c>
      <c r="Q90" s="43"/>
      <c r="R90" s="43"/>
      <c r="S90" s="43">
        <f t="shared" si="47"/>
        <v>15840</v>
      </c>
      <c r="T90" s="43">
        <f t="shared" si="48"/>
        <v>2779.92</v>
      </c>
      <c r="U90" s="38">
        <v>5280</v>
      </c>
      <c r="V90" s="39">
        <v>926.64</v>
      </c>
      <c r="W90" s="40">
        <f t="shared" si="49"/>
        <v>0.1755</v>
      </c>
      <c r="X90" s="40">
        <f t="shared" si="50"/>
        <v>-0.203030303030303</v>
      </c>
      <c r="Y90" s="40">
        <f t="shared" si="51"/>
        <v>-0.462747129413796</v>
      </c>
      <c r="Z90" s="43"/>
      <c r="AA90" s="43"/>
      <c r="AB90" s="47">
        <f>VLOOKUP(B90,[2]查询时间段分门店销售汇总!$D$3:$L$145,9,0)</f>
        <v>19767.86</v>
      </c>
      <c r="AC90" s="47">
        <f>VLOOKUP(B90,[2]查询时间段分门店销售汇总!$D$3:$M$145,10,0)</f>
        <v>4996.48</v>
      </c>
      <c r="AD90" s="48">
        <f t="shared" si="52"/>
        <v>12672</v>
      </c>
      <c r="AE90" s="48">
        <f t="shared" si="53"/>
        <v>2779.92</v>
      </c>
      <c r="AF90" s="49">
        <v>3168</v>
      </c>
      <c r="AG90" s="49">
        <v>694.98</v>
      </c>
      <c r="AH90" s="53">
        <f t="shared" si="54"/>
        <v>0.219375</v>
      </c>
      <c r="AI90" s="41">
        <f t="shared" si="55"/>
        <v>1.55996369949495</v>
      </c>
      <c r="AJ90" s="41">
        <f t="shared" si="56"/>
        <v>1.79734668623557</v>
      </c>
      <c r="AK90" s="48">
        <v>500</v>
      </c>
      <c r="AL90" s="48">
        <f t="shared" si="57"/>
        <v>15840</v>
      </c>
      <c r="AM90" s="48">
        <f t="shared" si="58"/>
        <v>3196.908</v>
      </c>
      <c r="AN90" s="59">
        <f t="shared" si="59"/>
        <v>1.24797095959596</v>
      </c>
      <c r="AO90" s="59">
        <f t="shared" si="60"/>
        <v>1.56291016194398</v>
      </c>
      <c r="AP90" s="49">
        <f>(AC90-AM90)*0.1</f>
        <v>179.9572</v>
      </c>
      <c r="AQ90" s="49">
        <v>3960</v>
      </c>
      <c r="AR90" s="49">
        <v>799.227</v>
      </c>
      <c r="AS90" s="53">
        <f t="shared" si="61"/>
        <v>0.201825</v>
      </c>
      <c r="AT90" s="125">
        <f t="shared" si="62"/>
        <v>679.9572</v>
      </c>
      <c r="AU90" s="57">
        <v>35</v>
      </c>
      <c r="AV90" s="118">
        <f>VLOOKUP(B90,[4]门店奖励金额汇总!$A:$D,4,0)</f>
        <v>33</v>
      </c>
    </row>
    <row r="91" spans="1:49">
      <c r="A91" s="23">
        <v>89</v>
      </c>
      <c r="B91" s="24">
        <v>54</v>
      </c>
      <c r="C91" s="24" t="s">
        <v>129</v>
      </c>
      <c r="D91" s="24" t="s">
        <v>130</v>
      </c>
      <c r="E91" s="123">
        <f>VLOOKUP(B91,[3]正式员工人数!$A:$C,3,0)</f>
        <v>3</v>
      </c>
      <c r="F91" s="27">
        <v>1</v>
      </c>
      <c r="G91" s="27">
        <v>150</v>
      </c>
      <c r="H91" s="28">
        <f>VLOOKUP(B91,[1]查询时间段分门店销售汇总!$D$3:$L$145,9,0)</f>
        <v>56340.33</v>
      </c>
      <c r="I91" s="28">
        <f>VLOOKUP(B91,[1]查询时间段分门店销售汇总!$D$3:$M$145,10,0)</f>
        <v>9185.01</v>
      </c>
      <c r="J91" s="32">
        <f t="shared" si="42"/>
        <v>57120</v>
      </c>
      <c r="K91" s="32">
        <f t="shared" si="43"/>
        <v>13927.45536</v>
      </c>
      <c r="L91" s="38">
        <v>19040</v>
      </c>
      <c r="M91" s="39">
        <v>4642.48512</v>
      </c>
      <c r="N91" s="40">
        <f t="shared" si="44"/>
        <v>0.243828</v>
      </c>
      <c r="O91" s="40">
        <f t="shared" si="45"/>
        <v>0.98635031512605</v>
      </c>
      <c r="P91" s="40">
        <f t="shared" si="46"/>
        <v>0.659489458955983</v>
      </c>
      <c r="Q91" s="43"/>
      <c r="R91" s="43"/>
      <c r="S91" s="43">
        <f t="shared" si="47"/>
        <v>62832</v>
      </c>
      <c r="T91" s="43">
        <f t="shared" si="48"/>
        <v>13788.1808064</v>
      </c>
      <c r="U91" s="38">
        <v>20944</v>
      </c>
      <c r="V91" s="39">
        <v>4596.0602688</v>
      </c>
      <c r="W91" s="40">
        <f t="shared" si="49"/>
        <v>0.2194452</v>
      </c>
      <c r="X91" s="40">
        <f t="shared" si="50"/>
        <v>0.896682104660046</v>
      </c>
      <c r="Y91" s="40">
        <f t="shared" si="51"/>
        <v>0.666150968642407</v>
      </c>
      <c r="Z91" s="43"/>
      <c r="AA91" s="43"/>
      <c r="AB91" s="47">
        <f>VLOOKUP(B91,[2]查询时间段分门店销售汇总!$D$3:$L$145,9,0)</f>
        <v>57785.89</v>
      </c>
      <c r="AC91" s="47">
        <f>VLOOKUP(B91,[2]查询时间段分门店销售汇总!$D$3:$M$145,10,0)</f>
        <v>8288.14</v>
      </c>
      <c r="AD91" s="48">
        <f t="shared" si="52"/>
        <v>50265.6</v>
      </c>
      <c r="AE91" s="48">
        <f t="shared" si="53"/>
        <v>13788.1808064</v>
      </c>
      <c r="AF91" s="49">
        <v>12566.4</v>
      </c>
      <c r="AG91" s="49">
        <v>3447.0452016</v>
      </c>
      <c r="AH91" s="53">
        <f t="shared" si="54"/>
        <v>0.2743065</v>
      </c>
      <c r="AI91" s="53">
        <f t="shared" si="55"/>
        <v>1.14961106601732</v>
      </c>
      <c r="AJ91" s="53">
        <f t="shared" si="56"/>
        <v>0.601104679172247</v>
      </c>
      <c r="AK91" s="48"/>
      <c r="AL91" s="48">
        <f t="shared" si="57"/>
        <v>62832</v>
      </c>
      <c r="AM91" s="48">
        <f t="shared" si="58"/>
        <v>15856.40792736</v>
      </c>
      <c r="AN91" s="54">
        <f t="shared" si="59"/>
        <v>0.919688852813853</v>
      </c>
      <c r="AO91" s="54">
        <f t="shared" si="60"/>
        <v>0.522699721019345</v>
      </c>
      <c r="AP91" s="49"/>
      <c r="AQ91" s="49">
        <v>15708</v>
      </c>
      <c r="AR91" s="49">
        <v>3964.10198184</v>
      </c>
      <c r="AS91" s="53">
        <f t="shared" si="61"/>
        <v>0.25236198</v>
      </c>
      <c r="AT91" s="125">
        <f t="shared" si="62"/>
        <v>0</v>
      </c>
      <c r="AU91" s="57">
        <v>50</v>
      </c>
      <c r="AV91" s="128">
        <f>VLOOKUP(B91,[4]门店奖励金额汇总!$A:$D,4,0)</f>
        <v>313</v>
      </c>
      <c r="AW91" s="76">
        <f>AV91*4</f>
        <v>1252</v>
      </c>
    </row>
    <row r="92" spans="1:48">
      <c r="A92" s="23">
        <v>90</v>
      </c>
      <c r="B92" s="24">
        <v>367</v>
      </c>
      <c r="C92" s="24" t="s">
        <v>131</v>
      </c>
      <c r="D92" s="24" t="s">
        <v>130</v>
      </c>
      <c r="E92" s="123">
        <f>VLOOKUP(B92,[3]正式员工人数!$A:$C,3,0)</f>
        <v>2</v>
      </c>
      <c r="F92" s="27">
        <v>1</v>
      </c>
      <c r="G92" s="27">
        <v>150</v>
      </c>
      <c r="H92" s="28">
        <f>VLOOKUP(B92,[1]查询时间段分门店销售汇总!$D$3:$L$145,9,0)</f>
        <v>30369.23</v>
      </c>
      <c r="I92" s="28">
        <f>VLOOKUP(B92,[1]查询时间段分门店销售汇总!$D$3:$M$145,10,0)</f>
        <v>7577.05</v>
      </c>
      <c r="J92" s="32">
        <f t="shared" si="42"/>
        <v>36000</v>
      </c>
      <c r="K92" s="32">
        <f t="shared" si="43"/>
        <v>7682.688</v>
      </c>
      <c r="L92" s="38">
        <v>12000</v>
      </c>
      <c r="M92" s="39">
        <v>2560.896</v>
      </c>
      <c r="N92" s="40">
        <f t="shared" si="44"/>
        <v>0.213408</v>
      </c>
      <c r="O92" s="40">
        <f t="shared" si="45"/>
        <v>0.843589722222222</v>
      </c>
      <c r="P92" s="40">
        <f t="shared" si="46"/>
        <v>0.986249864630713</v>
      </c>
      <c r="Q92" s="43"/>
      <c r="R92" s="43"/>
      <c r="S92" s="43">
        <f t="shared" si="47"/>
        <v>39600</v>
      </c>
      <c r="T92" s="43">
        <f t="shared" si="48"/>
        <v>7605.86112</v>
      </c>
      <c r="U92" s="38">
        <v>13200</v>
      </c>
      <c r="V92" s="39">
        <v>2535.28704</v>
      </c>
      <c r="W92" s="40">
        <f t="shared" si="49"/>
        <v>0.1920672</v>
      </c>
      <c r="X92" s="40">
        <f t="shared" si="50"/>
        <v>0.766899747474747</v>
      </c>
      <c r="Y92" s="40">
        <f t="shared" si="51"/>
        <v>0.996211984475467</v>
      </c>
      <c r="Z92" s="43"/>
      <c r="AA92" s="43"/>
      <c r="AB92" s="47">
        <f>VLOOKUP(B92,[2]查询时间段分门店销售汇总!$D$3:$L$145,9,0)</f>
        <v>33334.74</v>
      </c>
      <c r="AC92" s="47">
        <f>VLOOKUP(B92,[2]查询时间段分门店销售汇总!$D$3:$M$145,10,0)</f>
        <v>7312.43</v>
      </c>
      <c r="AD92" s="48">
        <f t="shared" si="52"/>
        <v>31680</v>
      </c>
      <c r="AE92" s="48">
        <f t="shared" si="53"/>
        <v>7605.86112</v>
      </c>
      <c r="AF92" s="49">
        <v>7920</v>
      </c>
      <c r="AG92" s="49">
        <v>1901.46528</v>
      </c>
      <c r="AH92" s="53">
        <f t="shared" si="54"/>
        <v>0.240084</v>
      </c>
      <c r="AI92" s="53">
        <f t="shared" si="55"/>
        <v>1.05223295454545</v>
      </c>
      <c r="AJ92" s="53">
        <f t="shared" si="56"/>
        <v>0.961420394696873</v>
      </c>
      <c r="AK92" s="48"/>
      <c r="AL92" s="48">
        <f t="shared" si="57"/>
        <v>39600</v>
      </c>
      <c r="AM92" s="48">
        <f t="shared" si="58"/>
        <v>8746.740288</v>
      </c>
      <c r="AN92" s="54">
        <f t="shared" si="59"/>
        <v>0.841786363636364</v>
      </c>
      <c r="AO92" s="54">
        <f t="shared" si="60"/>
        <v>0.83601773451902</v>
      </c>
      <c r="AP92" s="49"/>
      <c r="AQ92" s="49">
        <v>9900</v>
      </c>
      <c r="AR92" s="49">
        <v>2186.685072</v>
      </c>
      <c r="AS92" s="53">
        <f t="shared" si="61"/>
        <v>0.22087728</v>
      </c>
      <c r="AT92" s="125">
        <f t="shared" si="62"/>
        <v>0</v>
      </c>
      <c r="AU92" s="57">
        <v>40</v>
      </c>
      <c r="AV92" s="118">
        <f>VLOOKUP(B92,[4]门店奖励金额汇总!$A:$D,4,0)</f>
        <v>23</v>
      </c>
    </row>
    <row r="93" spans="1:49">
      <c r="A93" s="23">
        <v>91</v>
      </c>
      <c r="B93" s="24">
        <v>104428</v>
      </c>
      <c r="C93" s="24" t="s">
        <v>132</v>
      </c>
      <c r="D93" s="24" t="s">
        <v>130</v>
      </c>
      <c r="E93" s="123">
        <f>VLOOKUP(B93,[3]正式员工人数!$A:$C,3,0)</f>
        <v>1</v>
      </c>
      <c r="F93" s="27">
        <v>1</v>
      </c>
      <c r="G93" s="27">
        <v>150</v>
      </c>
      <c r="H93" s="28">
        <f>VLOOKUP(B93,[1]查询时间段分门店销售汇总!$D$3:$L$145,9,0)</f>
        <v>38626.97</v>
      </c>
      <c r="I93" s="28">
        <f>VLOOKUP(B93,[1]查询时间段分门店销售汇总!$D$3:$M$145,10,0)</f>
        <v>8288.59</v>
      </c>
      <c r="J93" s="32">
        <f t="shared" si="42"/>
        <v>37800</v>
      </c>
      <c r="K93" s="32">
        <f t="shared" si="43"/>
        <v>9717.9264</v>
      </c>
      <c r="L93" s="38">
        <v>12600</v>
      </c>
      <c r="M93" s="39">
        <v>3239.3088</v>
      </c>
      <c r="N93" s="40">
        <f t="shared" si="44"/>
        <v>0.257088</v>
      </c>
      <c r="O93" s="41">
        <f t="shared" si="45"/>
        <v>1.02187751322751</v>
      </c>
      <c r="P93" s="40">
        <f t="shared" si="46"/>
        <v>0.852917552452342</v>
      </c>
      <c r="Q93" s="43">
        <f>E93*70</f>
        <v>70</v>
      </c>
      <c r="R93" s="43"/>
      <c r="S93" s="43">
        <f t="shared" si="47"/>
        <v>41580</v>
      </c>
      <c r="T93" s="43">
        <f t="shared" si="48"/>
        <v>9620.747136</v>
      </c>
      <c r="U93" s="38">
        <v>13860</v>
      </c>
      <c r="V93" s="39">
        <v>3206.915712</v>
      </c>
      <c r="W93" s="40">
        <f t="shared" si="49"/>
        <v>0.2313792</v>
      </c>
      <c r="X93" s="40">
        <f t="shared" si="50"/>
        <v>0.928979557479558</v>
      </c>
      <c r="Y93" s="40">
        <f t="shared" si="51"/>
        <v>0.861532881264992</v>
      </c>
      <c r="Z93" s="43"/>
      <c r="AA93" s="43"/>
      <c r="AB93" s="47">
        <f>VLOOKUP(B93,[2]查询时间段分门店销售汇总!$D$3:$L$145,9,0)</f>
        <v>33329.12</v>
      </c>
      <c r="AC93" s="47">
        <f>VLOOKUP(B93,[2]查询时间段分门店销售汇总!$D$3:$M$145,10,0)</f>
        <v>7818.35</v>
      </c>
      <c r="AD93" s="48">
        <f t="shared" si="52"/>
        <v>33264</v>
      </c>
      <c r="AE93" s="48">
        <f t="shared" si="53"/>
        <v>9620.747136</v>
      </c>
      <c r="AF93" s="49">
        <v>8316</v>
      </c>
      <c r="AG93" s="49">
        <v>2405.186784</v>
      </c>
      <c r="AH93" s="53">
        <f t="shared" si="54"/>
        <v>0.289224</v>
      </c>
      <c r="AI93" s="53">
        <f t="shared" si="55"/>
        <v>1.00195767195767</v>
      </c>
      <c r="AJ93" s="53">
        <f t="shared" si="56"/>
        <v>0.812655180463523</v>
      </c>
      <c r="AK93" s="48"/>
      <c r="AL93" s="48">
        <f t="shared" si="57"/>
        <v>41580</v>
      </c>
      <c r="AM93" s="48">
        <f t="shared" si="58"/>
        <v>11063.8592064</v>
      </c>
      <c r="AN93" s="54">
        <f t="shared" si="59"/>
        <v>0.801566137566138</v>
      </c>
      <c r="AO93" s="54">
        <f t="shared" si="60"/>
        <v>0.706656678663933</v>
      </c>
      <c r="AP93" s="49"/>
      <c r="AQ93" s="49">
        <v>10395</v>
      </c>
      <c r="AR93" s="49">
        <v>2765.9648016</v>
      </c>
      <c r="AS93" s="53">
        <f t="shared" si="61"/>
        <v>0.26608608</v>
      </c>
      <c r="AT93" s="125">
        <f t="shared" si="62"/>
        <v>70</v>
      </c>
      <c r="AU93" s="57">
        <v>50</v>
      </c>
      <c r="AV93" s="128">
        <f>VLOOKUP(B93,[4]门店奖励金额汇总!$A:$D,4,0)</f>
        <v>73</v>
      </c>
      <c r="AW93" s="76">
        <f>AV93*4</f>
        <v>292</v>
      </c>
    </row>
    <row r="94" spans="1:48">
      <c r="A94" s="23">
        <v>92</v>
      </c>
      <c r="B94" s="24">
        <v>754</v>
      </c>
      <c r="C94" s="24" t="s">
        <v>133</v>
      </c>
      <c r="D94" s="24" t="s">
        <v>130</v>
      </c>
      <c r="E94" s="123">
        <f>VLOOKUP(B94,[3]正式员工人数!$A:$C,3,0)</f>
        <v>2</v>
      </c>
      <c r="F94" s="27">
        <v>2</v>
      </c>
      <c r="G94" s="27">
        <v>100</v>
      </c>
      <c r="H94" s="28">
        <f>VLOOKUP(B94,[1]查询时间段分门店销售汇总!$D$3:$L$145,9,0)</f>
        <v>18513.12</v>
      </c>
      <c r="I94" s="28">
        <f>VLOOKUP(B94,[1]查询时间段分门店销售汇总!$D$3:$M$145,10,0)</f>
        <v>4480.6</v>
      </c>
      <c r="J94" s="32">
        <f t="shared" si="42"/>
        <v>27825</v>
      </c>
      <c r="K94" s="32">
        <f t="shared" si="43"/>
        <v>6294.015</v>
      </c>
      <c r="L94" s="38">
        <v>9275</v>
      </c>
      <c r="M94" s="39">
        <v>2098.005</v>
      </c>
      <c r="N94" s="40">
        <f t="shared" si="44"/>
        <v>0.2262</v>
      </c>
      <c r="O94" s="40">
        <f t="shared" si="45"/>
        <v>0.665341239892183</v>
      </c>
      <c r="P94" s="40">
        <f t="shared" si="46"/>
        <v>0.711882637712176</v>
      </c>
      <c r="Q94" s="43"/>
      <c r="R94" s="43"/>
      <c r="S94" s="43">
        <f t="shared" si="47"/>
        <v>30607.5</v>
      </c>
      <c r="T94" s="43">
        <f t="shared" si="48"/>
        <v>6231.07485</v>
      </c>
      <c r="U94" s="38">
        <v>10202.5</v>
      </c>
      <c r="V94" s="39">
        <v>2077.02495</v>
      </c>
      <c r="W94" s="40">
        <f t="shared" si="49"/>
        <v>0.20358</v>
      </c>
      <c r="X94" s="40">
        <f t="shared" si="50"/>
        <v>0.604855672629258</v>
      </c>
      <c r="Y94" s="40">
        <f t="shared" si="51"/>
        <v>0.71907337142644</v>
      </c>
      <c r="Z94" s="43"/>
      <c r="AA94" s="43"/>
      <c r="AB94" s="47">
        <f>VLOOKUP(B94,[2]查询时间段分门店销售汇总!$D$3:$L$145,9,0)</f>
        <v>16642.47</v>
      </c>
      <c r="AC94" s="47">
        <f>VLOOKUP(B94,[2]查询时间段分门店销售汇总!$D$3:$M$145,10,0)</f>
        <v>2928.66</v>
      </c>
      <c r="AD94" s="48">
        <f t="shared" si="52"/>
        <v>24486</v>
      </c>
      <c r="AE94" s="48">
        <f t="shared" si="53"/>
        <v>6231.07485</v>
      </c>
      <c r="AF94" s="49">
        <v>6121.5</v>
      </c>
      <c r="AG94" s="49">
        <v>1557.7687125</v>
      </c>
      <c r="AH94" s="53">
        <f t="shared" si="54"/>
        <v>0.254475</v>
      </c>
      <c r="AI94" s="53">
        <f t="shared" si="55"/>
        <v>0.679672874295516</v>
      </c>
      <c r="AJ94" s="53">
        <f t="shared" si="56"/>
        <v>0.470008797920314</v>
      </c>
      <c r="AK94" s="48"/>
      <c r="AL94" s="48">
        <f t="shared" si="57"/>
        <v>30607.5</v>
      </c>
      <c r="AM94" s="48">
        <f t="shared" si="58"/>
        <v>7165.7360775</v>
      </c>
      <c r="AN94" s="54">
        <f t="shared" si="59"/>
        <v>0.543738299436413</v>
      </c>
      <c r="AO94" s="54">
        <f t="shared" si="60"/>
        <v>0.408703302539403</v>
      </c>
      <c r="AP94" s="49"/>
      <c r="AQ94" s="49">
        <v>7651.875</v>
      </c>
      <c r="AR94" s="49">
        <v>1791.434019375</v>
      </c>
      <c r="AS94" s="53">
        <f t="shared" si="61"/>
        <v>0.234117</v>
      </c>
      <c r="AT94" s="125">
        <f t="shared" si="62"/>
        <v>0</v>
      </c>
      <c r="AU94" s="57">
        <v>40</v>
      </c>
      <c r="AV94" s="118">
        <f>VLOOKUP(B94,[4]门店奖励金额汇总!$A:$D,4,0)</f>
        <v>25</v>
      </c>
    </row>
    <row r="95" spans="1:48">
      <c r="A95" s="23">
        <v>93</v>
      </c>
      <c r="B95" s="24">
        <v>104838</v>
      </c>
      <c r="C95" s="24" t="s">
        <v>134</v>
      </c>
      <c r="D95" s="24" t="s">
        <v>130</v>
      </c>
      <c r="E95" s="123">
        <f>VLOOKUP(B95,[3]正式员工人数!$A:$C,3,0)</f>
        <v>2</v>
      </c>
      <c r="F95" s="27">
        <v>2</v>
      </c>
      <c r="G95" s="27">
        <v>100</v>
      </c>
      <c r="H95" s="28">
        <f>VLOOKUP(B95,[1]查询时间段分门店销售汇总!$D$3:$L$145,9,0)</f>
        <v>15468.35</v>
      </c>
      <c r="I95" s="28">
        <f>VLOOKUP(B95,[1]查询时间段分门店销售汇总!$D$3:$M$145,10,0)</f>
        <v>3624.2</v>
      </c>
      <c r="J95" s="32">
        <f t="shared" si="42"/>
        <v>26730</v>
      </c>
      <c r="K95" s="32">
        <f t="shared" si="43"/>
        <v>6463.314</v>
      </c>
      <c r="L95" s="38">
        <v>8910</v>
      </c>
      <c r="M95" s="39">
        <v>2154.438</v>
      </c>
      <c r="N95" s="40">
        <f t="shared" si="44"/>
        <v>0.2418</v>
      </c>
      <c r="O95" s="40">
        <f t="shared" si="45"/>
        <v>0.578688739244295</v>
      </c>
      <c r="P95" s="40">
        <f t="shared" si="46"/>
        <v>0.56073401354166</v>
      </c>
      <c r="Q95" s="43"/>
      <c r="R95" s="43"/>
      <c r="S95" s="43">
        <f t="shared" si="47"/>
        <v>29403</v>
      </c>
      <c r="T95" s="43">
        <f t="shared" si="48"/>
        <v>6398.68086</v>
      </c>
      <c r="U95" s="38">
        <v>9801</v>
      </c>
      <c r="V95" s="39">
        <v>2132.89362</v>
      </c>
      <c r="W95" s="40">
        <f t="shared" si="49"/>
        <v>0.21762</v>
      </c>
      <c r="X95" s="40">
        <f t="shared" si="50"/>
        <v>0.526080672040268</v>
      </c>
      <c r="Y95" s="40">
        <f t="shared" si="51"/>
        <v>0.566397993476424</v>
      </c>
      <c r="Z95" s="43"/>
      <c r="AA95" s="43"/>
      <c r="AB95" s="47">
        <f>VLOOKUP(B95,[2]查询时间段分门店销售汇总!$D$3:$L$145,9,0)</f>
        <v>15263.25</v>
      </c>
      <c r="AC95" s="47">
        <f>VLOOKUP(B95,[2]查询时间段分门店销售汇总!$D$3:$M$145,10,0)</f>
        <v>3611.03</v>
      </c>
      <c r="AD95" s="48">
        <f t="shared" si="52"/>
        <v>23522.4</v>
      </c>
      <c r="AE95" s="48">
        <f t="shared" si="53"/>
        <v>6398.68086</v>
      </c>
      <c r="AF95" s="49">
        <v>5880.6</v>
      </c>
      <c r="AG95" s="49">
        <v>1599.670215</v>
      </c>
      <c r="AH95" s="53">
        <f t="shared" si="54"/>
        <v>0.272025</v>
      </c>
      <c r="AI95" s="53">
        <f t="shared" si="55"/>
        <v>0.648881491684522</v>
      </c>
      <c r="AJ95" s="53">
        <f t="shared" si="56"/>
        <v>0.564339756741673</v>
      </c>
      <c r="AK95" s="48"/>
      <c r="AL95" s="48">
        <f t="shared" si="57"/>
        <v>29403</v>
      </c>
      <c r="AM95" s="48">
        <f t="shared" si="58"/>
        <v>7358.482989</v>
      </c>
      <c r="AN95" s="54">
        <f t="shared" si="59"/>
        <v>0.519105193347618</v>
      </c>
      <c r="AO95" s="54">
        <f t="shared" si="60"/>
        <v>0.490730223253629</v>
      </c>
      <c r="AP95" s="49"/>
      <c r="AQ95" s="49">
        <v>7350.75</v>
      </c>
      <c r="AR95" s="49">
        <v>1839.62074725</v>
      </c>
      <c r="AS95" s="53">
        <f t="shared" si="61"/>
        <v>0.250263</v>
      </c>
      <c r="AT95" s="125">
        <f t="shared" si="62"/>
        <v>0</v>
      </c>
      <c r="AU95" s="57">
        <v>40</v>
      </c>
      <c r="AV95" s="118">
        <f>VLOOKUP(B95,[4]门店奖励金额汇总!$A:$D,4,0)</f>
        <v>8</v>
      </c>
    </row>
    <row r="96" spans="1:49">
      <c r="A96" s="23">
        <v>94</v>
      </c>
      <c r="B96" s="58">
        <v>56</v>
      </c>
      <c r="C96" s="58" t="s">
        <v>135</v>
      </c>
      <c r="D96" s="24" t="s">
        <v>130</v>
      </c>
      <c r="E96" s="123">
        <f>VLOOKUP(B96,[3]正式员工人数!$A:$C,3,0)</f>
        <v>2</v>
      </c>
      <c r="F96" s="27">
        <v>3</v>
      </c>
      <c r="G96" s="27">
        <v>100</v>
      </c>
      <c r="H96" s="28">
        <f>VLOOKUP(B96,[1]查询时间段分门店销售汇总!$D$3:$L$145,9,0)</f>
        <v>12606.62</v>
      </c>
      <c r="I96" s="28">
        <f>VLOOKUP(B96,[1]查询时间段分门店销售汇总!$D$3:$M$145,10,0)</f>
        <v>3167.3</v>
      </c>
      <c r="J96" s="32">
        <f t="shared" si="42"/>
        <v>25920</v>
      </c>
      <c r="K96" s="32">
        <f t="shared" si="43"/>
        <v>6065.28</v>
      </c>
      <c r="L96" s="38">
        <v>8640</v>
      </c>
      <c r="M96" s="39">
        <v>2021.76</v>
      </c>
      <c r="N96" s="40">
        <f t="shared" si="44"/>
        <v>0.234</v>
      </c>
      <c r="O96" s="40">
        <f t="shared" si="45"/>
        <v>0.486366512345679</v>
      </c>
      <c r="P96" s="40">
        <f t="shared" si="46"/>
        <v>0.522201777988815</v>
      </c>
      <c r="Q96" s="43"/>
      <c r="R96" s="43"/>
      <c r="S96" s="43">
        <f t="shared" si="47"/>
        <v>28512</v>
      </c>
      <c r="T96" s="43">
        <f t="shared" si="48"/>
        <v>6004.6272</v>
      </c>
      <c r="U96" s="38">
        <v>9504</v>
      </c>
      <c r="V96" s="39">
        <v>2001.5424</v>
      </c>
      <c r="W96" s="40">
        <f t="shared" si="49"/>
        <v>0.2106</v>
      </c>
      <c r="X96" s="40">
        <f t="shared" si="50"/>
        <v>0.442151374859708</v>
      </c>
      <c r="Y96" s="40">
        <f t="shared" si="51"/>
        <v>0.527476543423046</v>
      </c>
      <c r="Z96" s="43"/>
      <c r="AA96" s="43"/>
      <c r="AB96" s="47">
        <f>VLOOKUP(B96,[2]查询时间段分门店销售汇总!$D$3:$L$145,9,0)</f>
        <v>5682.88</v>
      </c>
      <c r="AC96" s="47">
        <f>VLOOKUP(B96,[2]查询时间段分门店销售汇总!$D$3:$M$145,10,0)</f>
        <v>788.12</v>
      </c>
      <c r="AD96" s="48">
        <f t="shared" si="52"/>
        <v>22809.6</v>
      </c>
      <c r="AE96" s="48">
        <f t="shared" si="53"/>
        <v>6004.6272</v>
      </c>
      <c r="AF96" s="49">
        <v>5702.4</v>
      </c>
      <c r="AG96" s="49">
        <v>1501.1568</v>
      </c>
      <c r="AH96" s="53">
        <f t="shared" si="54"/>
        <v>0.26325</v>
      </c>
      <c r="AI96" s="53">
        <f t="shared" si="55"/>
        <v>0.249144219977553</v>
      </c>
      <c r="AJ96" s="53">
        <f t="shared" si="56"/>
        <v>0.131252111704787</v>
      </c>
      <c r="AK96" s="48"/>
      <c r="AL96" s="48">
        <f t="shared" si="57"/>
        <v>28512</v>
      </c>
      <c r="AM96" s="48">
        <f t="shared" si="58"/>
        <v>6905.32128</v>
      </c>
      <c r="AN96" s="54">
        <f t="shared" si="59"/>
        <v>0.199315375982043</v>
      </c>
      <c r="AO96" s="54">
        <f t="shared" si="60"/>
        <v>0.114132271047641</v>
      </c>
      <c r="AP96" s="49"/>
      <c r="AQ96" s="49">
        <v>7128</v>
      </c>
      <c r="AR96" s="49">
        <v>1726.33032</v>
      </c>
      <c r="AS96" s="53">
        <f t="shared" si="61"/>
        <v>0.24219</v>
      </c>
      <c r="AT96" s="125">
        <f t="shared" si="62"/>
        <v>0</v>
      </c>
      <c r="AU96" s="57">
        <v>35</v>
      </c>
      <c r="AV96" s="128">
        <f>VLOOKUP(B96,[4]门店奖励金额汇总!$A:$D,4,0)</f>
        <v>35</v>
      </c>
      <c r="AW96" s="76">
        <f>AV96*4</f>
        <v>140</v>
      </c>
    </row>
    <row r="97" spans="1:48">
      <c r="A97" s="23">
        <v>95</v>
      </c>
      <c r="B97" s="24">
        <v>52</v>
      </c>
      <c r="C97" s="24" t="s">
        <v>136</v>
      </c>
      <c r="D97" s="24" t="s">
        <v>130</v>
      </c>
      <c r="E97" s="123">
        <f>VLOOKUP(B97,[3]正式员工人数!$A:$C,3,0)</f>
        <v>2</v>
      </c>
      <c r="F97" s="27">
        <v>3</v>
      </c>
      <c r="G97" s="27">
        <v>100</v>
      </c>
      <c r="H97" s="28">
        <f>VLOOKUP(B97,[1]查询时间段分门店销售汇总!$D$3:$L$145,9,0)</f>
        <v>16005.61</v>
      </c>
      <c r="I97" s="28">
        <f>VLOOKUP(B97,[1]查询时间段分门店销售汇总!$D$3:$M$145,10,0)</f>
        <v>2805.54</v>
      </c>
      <c r="J97" s="32">
        <f t="shared" si="42"/>
        <v>24645</v>
      </c>
      <c r="K97" s="32">
        <f t="shared" si="43"/>
        <v>5939.9379</v>
      </c>
      <c r="L97" s="38">
        <v>8215</v>
      </c>
      <c r="M97" s="39">
        <v>1979.9793</v>
      </c>
      <c r="N97" s="40">
        <f t="shared" si="44"/>
        <v>0.24102</v>
      </c>
      <c r="O97" s="40">
        <f t="shared" si="45"/>
        <v>0.649446540880503</v>
      </c>
      <c r="P97" s="40">
        <f t="shared" si="46"/>
        <v>0.472318069183855</v>
      </c>
      <c r="Q97" s="43"/>
      <c r="R97" s="43"/>
      <c r="S97" s="43">
        <f t="shared" si="47"/>
        <v>27109.5</v>
      </c>
      <c r="T97" s="43">
        <f t="shared" si="48"/>
        <v>5880.538521</v>
      </c>
      <c r="U97" s="38">
        <v>9036.5</v>
      </c>
      <c r="V97" s="39">
        <v>1960.179507</v>
      </c>
      <c r="W97" s="40">
        <f t="shared" si="49"/>
        <v>0.216918</v>
      </c>
      <c r="X97" s="40">
        <f t="shared" si="50"/>
        <v>0.590405946255003</v>
      </c>
      <c r="Y97" s="40">
        <f t="shared" si="51"/>
        <v>0.47708895877157</v>
      </c>
      <c r="Z97" s="43"/>
      <c r="AA97" s="43"/>
      <c r="AB97" s="47">
        <f>VLOOKUP(B97,[2]查询时间段分门店销售汇总!$D$3:$L$145,9,0)</f>
        <v>13511.97</v>
      </c>
      <c r="AC97" s="47">
        <f>VLOOKUP(B97,[2]查询时间段分门店销售汇总!$D$3:$M$145,10,0)</f>
        <v>3350.97</v>
      </c>
      <c r="AD97" s="48">
        <f t="shared" si="52"/>
        <v>21687.6</v>
      </c>
      <c r="AE97" s="48">
        <f t="shared" si="53"/>
        <v>5880.538521</v>
      </c>
      <c r="AF97" s="49">
        <v>5421.9</v>
      </c>
      <c r="AG97" s="49">
        <v>1470.13463025</v>
      </c>
      <c r="AH97" s="53">
        <f t="shared" si="54"/>
        <v>0.2711475</v>
      </c>
      <c r="AI97" s="53">
        <f t="shared" si="55"/>
        <v>0.623027444253859</v>
      </c>
      <c r="AJ97" s="53">
        <f t="shared" si="56"/>
        <v>0.569840668168969</v>
      </c>
      <c r="AK97" s="48"/>
      <c r="AL97" s="48">
        <f t="shared" si="57"/>
        <v>27109.5</v>
      </c>
      <c r="AM97" s="48">
        <f t="shared" si="58"/>
        <v>6762.61929915</v>
      </c>
      <c r="AN97" s="54">
        <f t="shared" si="59"/>
        <v>0.498421955403087</v>
      </c>
      <c r="AO97" s="54">
        <f t="shared" si="60"/>
        <v>0.495513624494756</v>
      </c>
      <c r="AP97" s="49"/>
      <c r="AQ97" s="49">
        <v>6777.375</v>
      </c>
      <c r="AR97" s="49">
        <v>1690.6548247875</v>
      </c>
      <c r="AS97" s="53">
        <f t="shared" si="61"/>
        <v>0.2494557</v>
      </c>
      <c r="AT97" s="125">
        <f t="shared" si="62"/>
        <v>0</v>
      </c>
      <c r="AU97" s="57">
        <v>40</v>
      </c>
      <c r="AV97" s="118">
        <f>VLOOKUP(B97,[4]门店奖励金额汇总!$A:$D,4,0)</f>
        <v>15</v>
      </c>
    </row>
    <row r="98" spans="1:48">
      <c r="A98" s="23">
        <v>96</v>
      </c>
      <c r="B98" s="24">
        <v>122176</v>
      </c>
      <c r="C98" s="24" t="s">
        <v>137</v>
      </c>
      <c r="D98" s="24" t="s">
        <v>130</v>
      </c>
      <c r="E98" s="123">
        <f>VLOOKUP(B98,[3]正式员工人数!$A:$C,3,0)</f>
        <v>1</v>
      </c>
      <c r="F98" s="27">
        <v>4</v>
      </c>
      <c r="G98" s="27">
        <v>50</v>
      </c>
      <c r="H98" s="28">
        <f>VLOOKUP(B98,[1]查询时间段分门店销售汇总!$D$3:$L$145,9,0)</f>
        <v>2653.83</v>
      </c>
      <c r="I98" s="28">
        <f>VLOOKUP(B98,[1]查询时间段分门店销售汇总!$D$3:$M$145,10,0)</f>
        <v>830.33</v>
      </c>
      <c r="J98" s="32">
        <f t="shared" si="42"/>
        <v>13500</v>
      </c>
      <c r="K98" s="32">
        <f t="shared" si="43"/>
        <v>2737.8</v>
      </c>
      <c r="L98" s="38">
        <v>4500</v>
      </c>
      <c r="M98" s="39">
        <v>912.6</v>
      </c>
      <c r="N98" s="40">
        <f t="shared" si="44"/>
        <v>0.2028</v>
      </c>
      <c r="O98" s="40">
        <f t="shared" si="45"/>
        <v>0.19658</v>
      </c>
      <c r="P98" s="40">
        <f t="shared" si="46"/>
        <v>0.303283658411864</v>
      </c>
      <c r="Q98" s="43"/>
      <c r="R98" s="43"/>
      <c r="S98" s="43">
        <f t="shared" si="47"/>
        <v>14850</v>
      </c>
      <c r="T98" s="43">
        <f t="shared" si="48"/>
        <v>2710.422</v>
      </c>
      <c r="U98" s="38">
        <v>4950</v>
      </c>
      <c r="V98" s="39">
        <v>903.474</v>
      </c>
      <c r="W98" s="40">
        <f t="shared" si="49"/>
        <v>0.18252</v>
      </c>
      <c r="X98" s="40">
        <f t="shared" si="50"/>
        <v>0.178709090909091</v>
      </c>
      <c r="Y98" s="40">
        <f t="shared" si="51"/>
        <v>0.306347129708953</v>
      </c>
      <c r="Z98" s="43"/>
      <c r="AA98" s="43"/>
      <c r="AB98" s="47">
        <f>VLOOKUP(B98,[2]查询时间段分门店销售汇总!$D$3:$L$145,9,0)</f>
        <v>6667.82</v>
      </c>
      <c r="AC98" s="47">
        <f>VLOOKUP(B98,[2]查询时间段分门店销售汇总!$D$3:$M$145,10,0)</f>
        <v>1934.37</v>
      </c>
      <c r="AD98" s="48">
        <f t="shared" si="52"/>
        <v>11880</v>
      </c>
      <c r="AE98" s="48">
        <f t="shared" si="53"/>
        <v>2710.422</v>
      </c>
      <c r="AF98" s="49">
        <v>2970</v>
      </c>
      <c r="AG98" s="49">
        <v>677.6055</v>
      </c>
      <c r="AH98" s="53">
        <f t="shared" si="54"/>
        <v>0.22815</v>
      </c>
      <c r="AI98" s="53">
        <f t="shared" si="55"/>
        <v>0.56126430976431</v>
      </c>
      <c r="AJ98" s="53">
        <f t="shared" si="56"/>
        <v>0.713678534191355</v>
      </c>
      <c r="AK98" s="48"/>
      <c r="AL98" s="48">
        <f t="shared" si="57"/>
        <v>14850</v>
      </c>
      <c r="AM98" s="48">
        <f t="shared" si="58"/>
        <v>3116.9853</v>
      </c>
      <c r="AN98" s="54">
        <f t="shared" si="59"/>
        <v>0.449011447811448</v>
      </c>
      <c r="AO98" s="54">
        <f t="shared" si="60"/>
        <v>0.620590029731613</v>
      </c>
      <c r="AP98" s="49"/>
      <c r="AQ98" s="49">
        <v>3712.5</v>
      </c>
      <c r="AR98" s="49">
        <v>779.246325</v>
      </c>
      <c r="AS98" s="53">
        <f t="shared" si="61"/>
        <v>0.209898</v>
      </c>
      <c r="AT98" s="125">
        <f t="shared" si="62"/>
        <v>0</v>
      </c>
      <c r="AU98" s="57">
        <v>30</v>
      </c>
      <c r="AV98" s="118">
        <f>VLOOKUP(B98,[4]门店奖励金额汇总!$A:$D,4,0)</f>
        <v>5</v>
      </c>
    </row>
    <row r="99" spans="1:49">
      <c r="A99" s="23">
        <v>97</v>
      </c>
      <c r="B99" s="24">
        <v>517</v>
      </c>
      <c r="C99" s="24" t="s">
        <v>138</v>
      </c>
      <c r="D99" s="24" t="s">
        <v>139</v>
      </c>
      <c r="E99" s="123">
        <f>VLOOKUP(B99,[3]正式员工人数!$A:$C,3,0)</f>
        <v>3</v>
      </c>
      <c r="F99" s="32">
        <v>1</v>
      </c>
      <c r="G99" s="32">
        <v>200</v>
      </c>
      <c r="H99" s="28">
        <f>VLOOKUP(B99,[1]查询时间段分门店销售汇总!$D$3:$L$145,9,0)</f>
        <v>176605.41</v>
      </c>
      <c r="I99" s="28">
        <f>VLOOKUP(B99,[1]查询时间段分门店销售汇总!$D$3:$M$145,10,0)</f>
        <v>27777.53</v>
      </c>
      <c r="J99" s="32">
        <f t="shared" si="42"/>
        <v>151200</v>
      </c>
      <c r="K99" s="32">
        <f t="shared" si="43"/>
        <v>25993.0944</v>
      </c>
      <c r="L99" s="38">
        <v>50400</v>
      </c>
      <c r="M99" s="39">
        <v>8664.3648</v>
      </c>
      <c r="N99" s="40">
        <f t="shared" si="44"/>
        <v>0.171912</v>
      </c>
      <c r="O99" s="41">
        <f t="shared" si="45"/>
        <v>1.1680251984127</v>
      </c>
      <c r="P99" s="41">
        <f t="shared" si="46"/>
        <v>1.06865037200034</v>
      </c>
      <c r="Q99" s="43"/>
      <c r="R99" s="43"/>
      <c r="S99" s="43">
        <f t="shared" si="47"/>
        <v>166320</v>
      </c>
      <c r="T99" s="43">
        <f t="shared" si="48"/>
        <v>25733.163456</v>
      </c>
      <c r="U99" s="38">
        <v>55440</v>
      </c>
      <c r="V99" s="39">
        <v>8577.721152</v>
      </c>
      <c r="W99" s="40">
        <f t="shared" si="49"/>
        <v>0.1547208</v>
      </c>
      <c r="X99" s="41">
        <f t="shared" si="50"/>
        <v>1.06184108946609</v>
      </c>
      <c r="Y99" s="41">
        <f t="shared" si="51"/>
        <v>1.07944482020237</v>
      </c>
      <c r="Z99" s="43">
        <f>150*E99</f>
        <v>450</v>
      </c>
      <c r="AA99" s="43">
        <f>(I99-K99)*0.3</f>
        <v>535.330679999999</v>
      </c>
      <c r="AB99" s="47">
        <f>VLOOKUP(B99,[2]查询时间段分门店销售汇总!$D$3:$L$145,9,0)</f>
        <v>149147.94</v>
      </c>
      <c r="AC99" s="47">
        <f>VLOOKUP(B99,[2]查询时间段分门店销售汇总!$D$3:$M$145,10,0)</f>
        <v>26087.45</v>
      </c>
      <c r="AD99" s="48">
        <f t="shared" si="52"/>
        <v>133056</v>
      </c>
      <c r="AE99" s="48">
        <f t="shared" si="53"/>
        <v>25733.163456</v>
      </c>
      <c r="AF99" s="49">
        <v>33264</v>
      </c>
      <c r="AG99" s="49">
        <v>6433.290864</v>
      </c>
      <c r="AH99" s="53">
        <f t="shared" si="54"/>
        <v>0.193401</v>
      </c>
      <c r="AI99" s="41">
        <f t="shared" si="55"/>
        <v>1.12094110750361</v>
      </c>
      <c r="AJ99" s="41">
        <f t="shared" si="56"/>
        <v>1.01376770270028</v>
      </c>
      <c r="AK99" s="48">
        <v>300</v>
      </c>
      <c r="AL99" s="48">
        <f t="shared" si="57"/>
        <v>166320</v>
      </c>
      <c r="AM99" s="48">
        <f t="shared" si="58"/>
        <v>29593.1379744</v>
      </c>
      <c r="AN99" s="54">
        <f t="shared" si="59"/>
        <v>0.896752886002886</v>
      </c>
      <c r="AO99" s="54">
        <f t="shared" si="60"/>
        <v>0.881537132782855</v>
      </c>
      <c r="AP99" s="49"/>
      <c r="AQ99" s="49">
        <v>41580</v>
      </c>
      <c r="AR99" s="49">
        <v>7398.2844936</v>
      </c>
      <c r="AS99" s="53">
        <f t="shared" si="61"/>
        <v>0.17792892</v>
      </c>
      <c r="AT99" s="125">
        <f t="shared" si="62"/>
        <v>1285.33068</v>
      </c>
      <c r="AU99" s="57">
        <v>50</v>
      </c>
      <c r="AV99" s="128">
        <f>VLOOKUP(B99,[4]门店奖励金额汇总!$A:$D,4,0)</f>
        <v>87</v>
      </c>
      <c r="AW99" s="76">
        <f>AV99*4</f>
        <v>348</v>
      </c>
    </row>
    <row r="100" spans="1:49">
      <c r="A100" s="23">
        <v>98</v>
      </c>
      <c r="B100" s="24">
        <v>114685</v>
      </c>
      <c r="C100" s="24" t="s">
        <v>140</v>
      </c>
      <c r="D100" s="24" t="s">
        <v>139</v>
      </c>
      <c r="E100" s="123">
        <f>VLOOKUP(B100,[3]正式员工人数!$A:$C,3,0)</f>
        <v>4</v>
      </c>
      <c r="F100" s="32">
        <v>1</v>
      </c>
      <c r="G100" s="32">
        <v>200</v>
      </c>
      <c r="H100" s="28">
        <f>VLOOKUP(B100,[1]查询时间段分门店销售汇总!$D$3:$L$145,9,0)</f>
        <v>119041.77</v>
      </c>
      <c r="I100" s="28">
        <f>VLOOKUP(B100,[1]查询时间段分门店销售汇总!$D$3:$M$145,10,0)</f>
        <v>17455.06</v>
      </c>
      <c r="J100" s="32">
        <f t="shared" ref="J100:J146" si="63">L100*3</f>
        <v>144000</v>
      </c>
      <c r="K100" s="32">
        <f t="shared" ref="K100:K146" si="64">M100*3</f>
        <v>22464</v>
      </c>
      <c r="L100" s="38">
        <v>48000</v>
      </c>
      <c r="M100" s="39">
        <v>7488</v>
      </c>
      <c r="N100" s="40">
        <f t="shared" ref="N100:N146" si="65">M100/L100</f>
        <v>0.156</v>
      </c>
      <c r="O100" s="40">
        <f t="shared" ref="O100:O146" si="66">H100/J100</f>
        <v>0.826678958333333</v>
      </c>
      <c r="P100" s="40">
        <f t="shared" ref="P100:P146" si="67">I100/K100</f>
        <v>0.777023682336182</v>
      </c>
      <c r="Q100" s="43"/>
      <c r="R100" s="43"/>
      <c r="S100" s="43">
        <f t="shared" ref="S100:S146" si="68">U100*3</f>
        <v>158400</v>
      </c>
      <c r="T100" s="43">
        <f t="shared" ref="T100:T146" si="69">V100*3</f>
        <v>22239.36</v>
      </c>
      <c r="U100" s="38">
        <v>52800</v>
      </c>
      <c r="V100" s="39">
        <v>7413.12</v>
      </c>
      <c r="W100" s="40">
        <f t="shared" ref="W100:W146" si="70">V100/U100</f>
        <v>0.1404</v>
      </c>
      <c r="X100" s="40">
        <f t="shared" ref="X100:X146" si="71">H100/S100</f>
        <v>0.751526325757576</v>
      </c>
      <c r="Y100" s="40">
        <f t="shared" ref="Y100:Y146" si="72">I100/T100</f>
        <v>0.784872406400184</v>
      </c>
      <c r="Z100" s="43"/>
      <c r="AA100" s="43"/>
      <c r="AB100" s="47">
        <f>VLOOKUP(B100,[2]查询时间段分门店销售汇总!$D$3:$L$145,9,0)</f>
        <v>78576.77</v>
      </c>
      <c r="AC100" s="47">
        <f>VLOOKUP(B100,[2]查询时间段分门店销售汇总!$D$3:$M$145,10,0)</f>
        <v>13580.4</v>
      </c>
      <c r="AD100" s="48">
        <f t="shared" ref="AD100:AD146" si="73">AF100*4</f>
        <v>126720</v>
      </c>
      <c r="AE100" s="48">
        <f t="shared" ref="AE100:AE146" si="74">AG100*4</f>
        <v>22239.36</v>
      </c>
      <c r="AF100" s="49">
        <v>31680</v>
      </c>
      <c r="AG100" s="49">
        <v>5559.84</v>
      </c>
      <c r="AH100" s="53">
        <f t="shared" ref="AH100:AH146" si="75">AG100/AF100</f>
        <v>0.1755</v>
      </c>
      <c r="AI100" s="53">
        <f t="shared" ref="AI100:AI146" si="76">AB100/AD100</f>
        <v>0.620081833964646</v>
      </c>
      <c r="AJ100" s="53">
        <f t="shared" ref="AJ100:AJ146" si="77">AC100/AE100</f>
        <v>0.610647068980402</v>
      </c>
      <c r="AK100" s="48"/>
      <c r="AL100" s="48">
        <f t="shared" ref="AL100:AL146" si="78">AQ100*4</f>
        <v>158400</v>
      </c>
      <c r="AM100" s="48">
        <f t="shared" ref="AM100:AM146" si="79">AR100*4</f>
        <v>25575.264</v>
      </c>
      <c r="AN100" s="54">
        <f t="shared" ref="AN100:AN146" si="80">AB100/AL100</f>
        <v>0.496065467171717</v>
      </c>
      <c r="AO100" s="54">
        <f t="shared" ref="AO100:AO146" si="81">AC100/AM100</f>
        <v>0.530997451287306</v>
      </c>
      <c r="AP100" s="49"/>
      <c r="AQ100" s="49">
        <v>39600</v>
      </c>
      <c r="AR100" s="49">
        <v>6393.816</v>
      </c>
      <c r="AS100" s="53">
        <f t="shared" ref="AS100:AS146" si="82">AR100/AQ100</f>
        <v>0.16146</v>
      </c>
      <c r="AT100" s="125">
        <f t="shared" ref="AT100:AT145" si="83">Q100+R100+Z100+AA100+AK100+AP100</f>
        <v>0</v>
      </c>
      <c r="AU100" s="57">
        <v>40</v>
      </c>
      <c r="AV100" s="128">
        <f>VLOOKUP(B100,[4]门店奖励金额汇总!$A:$D,4,0)</f>
        <v>61</v>
      </c>
      <c r="AW100" s="76">
        <f>AV100*4</f>
        <v>244</v>
      </c>
    </row>
    <row r="101" spans="1:49">
      <c r="A101" s="23">
        <v>99</v>
      </c>
      <c r="B101" s="24">
        <v>337</v>
      </c>
      <c r="C101" s="24" t="s">
        <v>141</v>
      </c>
      <c r="D101" s="24" t="s">
        <v>139</v>
      </c>
      <c r="E101" s="123">
        <f>VLOOKUP(B101,[3]正式员工人数!$A:$C,3,0)</f>
        <v>4</v>
      </c>
      <c r="F101" s="32">
        <v>1</v>
      </c>
      <c r="G101" s="32">
        <v>200</v>
      </c>
      <c r="H101" s="28">
        <f>VLOOKUP(B101,[1]查询时间段分门店销售汇总!$D$3:$L$145,9,0)</f>
        <v>166360.15</v>
      </c>
      <c r="I101" s="28">
        <f>VLOOKUP(B101,[1]查询时间段分门店销售汇总!$D$3:$M$145,10,0)</f>
        <v>12111.17</v>
      </c>
      <c r="J101" s="32">
        <f t="shared" si="63"/>
        <v>138000</v>
      </c>
      <c r="K101" s="32">
        <f t="shared" si="64"/>
        <v>27297.504</v>
      </c>
      <c r="L101" s="38">
        <v>46000</v>
      </c>
      <c r="M101" s="39">
        <v>9099.168</v>
      </c>
      <c r="N101" s="40">
        <f t="shared" si="65"/>
        <v>0.197808</v>
      </c>
      <c r="O101" s="41">
        <f t="shared" si="66"/>
        <v>1.20550833333333</v>
      </c>
      <c r="P101" s="40">
        <f t="shared" si="67"/>
        <v>0.44367316513627</v>
      </c>
      <c r="Q101" s="43"/>
      <c r="R101" s="43"/>
      <c r="S101" s="43">
        <f t="shared" si="68"/>
        <v>151800</v>
      </c>
      <c r="T101" s="43">
        <f t="shared" si="69"/>
        <v>27024.52896</v>
      </c>
      <c r="U101" s="38">
        <v>50600</v>
      </c>
      <c r="V101" s="39">
        <v>9008.17632</v>
      </c>
      <c r="W101" s="40">
        <f t="shared" si="70"/>
        <v>0.1780272</v>
      </c>
      <c r="X101" s="41">
        <f t="shared" si="71"/>
        <v>1.09591666666667</v>
      </c>
      <c r="Y101" s="40">
        <f t="shared" si="72"/>
        <v>0.448154712258859</v>
      </c>
      <c r="Z101" s="43">
        <f>150*E101</f>
        <v>600</v>
      </c>
      <c r="AA101" s="43"/>
      <c r="AB101" s="47">
        <f>VLOOKUP(B101,[2]查询时间段分门店销售汇总!$D$3:$L$145,9,0)</f>
        <v>115793.41</v>
      </c>
      <c r="AC101" s="47">
        <f>VLOOKUP(B101,[2]查询时间段分门店销售汇总!$D$3:$M$145,10,0)</f>
        <v>15783.59</v>
      </c>
      <c r="AD101" s="48">
        <f t="shared" si="73"/>
        <v>121440</v>
      </c>
      <c r="AE101" s="48">
        <f t="shared" si="74"/>
        <v>27024.52896</v>
      </c>
      <c r="AF101" s="49">
        <v>30360</v>
      </c>
      <c r="AG101" s="49">
        <v>6756.13224</v>
      </c>
      <c r="AH101" s="53">
        <f t="shared" si="75"/>
        <v>0.222534</v>
      </c>
      <c r="AI101" s="53">
        <f t="shared" si="76"/>
        <v>0.953503046772069</v>
      </c>
      <c r="AJ101" s="53">
        <f t="shared" si="77"/>
        <v>0.584046812559134</v>
      </c>
      <c r="AK101" s="48"/>
      <c r="AL101" s="48">
        <f t="shared" si="78"/>
        <v>151800</v>
      </c>
      <c r="AM101" s="48">
        <f t="shared" si="79"/>
        <v>31078.208304</v>
      </c>
      <c r="AN101" s="54">
        <f t="shared" si="80"/>
        <v>0.762802437417655</v>
      </c>
      <c r="AO101" s="54">
        <f t="shared" si="81"/>
        <v>0.507866793529681</v>
      </c>
      <c r="AP101" s="49"/>
      <c r="AQ101" s="49">
        <v>37950</v>
      </c>
      <c r="AR101" s="49">
        <v>7769.552076</v>
      </c>
      <c r="AS101" s="53">
        <f t="shared" si="82"/>
        <v>0.20473128</v>
      </c>
      <c r="AT101" s="125">
        <f t="shared" si="83"/>
        <v>600</v>
      </c>
      <c r="AU101" s="57">
        <v>50</v>
      </c>
      <c r="AV101" s="128">
        <f>VLOOKUP(B101,[4]门店奖励金额汇总!$A:$D,4,0)</f>
        <v>108</v>
      </c>
      <c r="AW101" s="76">
        <f>AV101*4</f>
        <v>432</v>
      </c>
    </row>
    <row r="102" spans="1:49">
      <c r="A102" s="23">
        <v>100</v>
      </c>
      <c r="B102" s="24">
        <v>373</v>
      </c>
      <c r="C102" s="24" t="s">
        <v>142</v>
      </c>
      <c r="D102" s="24" t="s">
        <v>139</v>
      </c>
      <c r="E102" s="123">
        <f>VLOOKUP(B102,[3]正式员工人数!$A:$C,3,0)</f>
        <v>3</v>
      </c>
      <c r="F102" s="32">
        <v>2</v>
      </c>
      <c r="G102" s="32">
        <v>150</v>
      </c>
      <c r="H102" s="28">
        <f>VLOOKUP(B102,[1]查询时间段分门店销售汇总!$D$3:$L$145,9,0)</f>
        <v>72721.21</v>
      </c>
      <c r="I102" s="28">
        <f>VLOOKUP(B102,[1]查询时间段分门店销售汇总!$D$3:$M$145,10,0)</f>
        <v>18084.83</v>
      </c>
      <c r="J102" s="32">
        <f t="shared" si="63"/>
        <v>66000</v>
      </c>
      <c r="K102" s="32">
        <f t="shared" si="64"/>
        <v>16344.9</v>
      </c>
      <c r="L102" s="38">
        <v>22000</v>
      </c>
      <c r="M102" s="39">
        <v>5448.3</v>
      </c>
      <c r="N102" s="40">
        <f t="shared" si="65"/>
        <v>0.24765</v>
      </c>
      <c r="O102" s="41">
        <f t="shared" si="66"/>
        <v>1.10183651515152</v>
      </c>
      <c r="P102" s="41">
        <f t="shared" si="67"/>
        <v>1.10645094188401</v>
      </c>
      <c r="Q102" s="43"/>
      <c r="R102" s="43"/>
      <c r="S102" s="43">
        <f t="shared" si="68"/>
        <v>72600</v>
      </c>
      <c r="T102" s="43">
        <f t="shared" si="69"/>
        <v>16181.451</v>
      </c>
      <c r="U102" s="38">
        <v>24200</v>
      </c>
      <c r="V102" s="39">
        <v>5393.817</v>
      </c>
      <c r="W102" s="40">
        <f t="shared" si="70"/>
        <v>0.222885</v>
      </c>
      <c r="X102" s="41">
        <f t="shared" si="71"/>
        <v>1.00166955922865</v>
      </c>
      <c r="Y102" s="41">
        <f t="shared" si="72"/>
        <v>1.11762721402426</v>
      </c>
      <c r="Z102" s="43">
        <f>150*E102</f>
        <v>450</v>
      </c>
      <c r="AA102" s="43">
        <f>(I102-K102)*0.3</f>
        <v>521.979000000001</v>
      </c>
      <c r="AB102" s="47">
        <f>VLOOKUP(B102,[2]查询时间段分门店销售汇总!$D$3:$L$145,9,0)</f>
        <v>53255.72</v>
      </c>
      <c r="AC102" s="47">
        <f>VLOOKUP(B102,[2]查询时间段分门店销售汇总!$D$3:$M$145,10,0)</f>
        <v>9772.05</v>
      </c>
      <c r="AD102" s="48">
        <f t="shared" si="73"/>
        <v>58080</v>
      </c>
      <c r="AE102" s="48">
        <f t="shared" si="74"/>
        <v>16181.451</v>
      </c>
      <c r="AF102" s="49">
        <v>14520</v>
      </c>
      <c r="AG102" s="49">
        <v>4045.36275</v>
      </c>
      <c r="AH102" s="53">
        <f t="shared" si="75"/>
        <v>0.27860625</v>
      </c>
      <c r="AI102" s="53">
        <f t="shared" si="76"/>
        <v>0.916937327823692</v>
      </c>
      <c r="AJ102" s="53">
        <f t="shared" si="77"/>
        <v>0.603904433539366</v>
      </c>
      <c r="AK102" s="48"/>
      <c r="AL102" s="48">
        <f t="shared" si="78"/>
        <v>72600</v>
      </c>
      <c r="AM102" s="48">
        <f t="shared" si="79"/>
        <v>18608.66865</v>
      </c>
      <c r="AN102" s="54">
        <f t="shared" si="80"/>
        <v>0.733549862258953</v>
      </c>
      <c r="AO102" s="54">
        <f t="shared" si="81"/>
        <v>0.525134290034231</v>
      </c>
      <c r="AP102" s="49"/>
      <c r="AQ102" s="49">
        <v>18150</v>
      </c>
      <c r="AR102" s="49">
        <v>4652.1671625</v>
      </c>
      <c r="AS102" s="53">
        <f t="shared" si="82"/>
        <v>0.25631775</v>
      </c>
      <c r="AT102" s="125">
        <f t="shared" si="83"/>
        <v>971.979000000001</v>
      </c>
      <c r="AU102" s="57">
        <v>50</v>
      </c>
      <c r="AV102" s="128">
        <f>VLOOKUP(B102,[4]门店奖励金额汇总!$A:$D,4,0)</f>
        <v>95</v>
      </c>
      <c r="AW102" s="76">
        <f>AV102*4</f>
        <v>380</v>
      </c>
    </row>
    <row r="103" spans="1:48">
      <c r="A103" s="23">
        <v>101</v>
      </c>
      <c r="B103" s="24">
        <v>546</v>
      </c>
      <c r="C103" s="24" t="s">
        <v>143</v>
      </c>
      <c r="D103" s="24" t="s">
        <v>139</v>
      </c>
      <c r="E103" s="123">
        <f>VLOOKUP(B103,[3]正式员工人数!$A:$C,3,0)</f>
        <v>2</v>
      </c>
      <c r="F103" s="32">
        <v>2</v>
      </c>
      <c r="G103" s="32">
        <v>150</v>
      </c>
      <c r="H103" s="28">
        <f>VLOOKUP(B103,[1]查询时间段分门店销售汇总!$D$3:$L$145,9,0)</f>
        <v>42772.43</v>
      </c>
      <c r="I103" s="28">
        <f>VLOOKUP(B103,[1]查询时间段分门店销售汇总!$D$3:$M$145,10,0)</f>
        <v>10379.29</v>
      </c>
      <c r="J103" s="32">
        <f t="shared" si="63"/>
        <v>64500</v>
      </c>
      <c r="K103" s="32">
        <f t="shared" si="64"/>
        <v>17055.09</v>
      </c>
      <c r="L103" s="38">
        <v>21500</v>
      </c>
      <c r="M103" s="39">
        <v>5685.03</v>
      </c>
      <c r="N103" s="40">
        <f t="shared" si="65"/>
        <v>0.26442</v>
      </c>
      <c r="O103" s="40">
        <f t="shared" si="66"/>
        <v>0.663138449612403</v>
      </c>
      <c r="P103" s="40">
        <f t="shared" si="67"/>
        <v>0.608574331768405</v>
      </c>
      <c r="Q103" s="43"/>
      <c r="R103" s="43"/>
      <c r="S103" s="43">
        <f t="shared" si="68"/>
        <v>70950</v>
      </c>
      <c r="T103" s="43">
        <f t="shared" si="69"/>
        <v>16884.5391</v>
      </c>
      <c r="U103" s="38">
        <v>23650</v>
      </c>
      <c r="V103" s="39">
        <v>5628.1797</v>
      </c>
      <c r="W103" s="40">
        <f t="shared" si="70"/>
        <v>0.237978</v>
      </c>
      <c r="X103" s="40">
        <f t="shared" si="71"/>
        <v>0.602853136011276</v>
      </c>
      <c r="Y103" s="40">
        <f t="shared" si="72"/>
        <v>0.614721547240813</v>
      </c>
      <c r="Z103" s="43"/>
      <c r="AA103" s="43"/>
      <c r="AB103" s="47">
        <f>VLOOKUP(B103,[2]查询时间段分门店销售汇总!$D$3:$L$145,9,0)</f>
        <v>39614.8</v>
      </c>
      <c r="AC103" s="47">
        <f>VLOOKUP(B103,[2]查询时间段分门店销售汇总!$D$3:$M$145,10,0)</f>
        <v>8826.32</v>
      </c>
      <c r="AD103" s="48">
        <f t="shared" si="73"/>
        <v>56760</v>
      </c>
      <c r="AE103" s="48">
        <f t="shared" si="74"/>
        <v>16884.5391</v>
      </c>
      <c r="AF103" s="49">
        <v>14190</v>
      </c>
      <c r="AG103" s="49">
        <v>4221.134775</v>
      </c>
      <c r="AH103" s="53">
        <f t="shared" si="75"/>
        <v>0.2974725</v>
      </c>
      <c r="AI103" s="53">
        <f t="shared" si="76"/>
        <v>0.697935165609584</v>
      </c>
      <c r="AJ103" s="53">
        <f t="shared" si="77"/>
        <v>0.522745687502953</v>
      </c>
      <c r="AK103" s="48"/>
      <c r="AL103" s="48">
        <f t="shared" si="78"/>
        <v>70950</v>
      </c>
      <c r="AM103" s="48">
        <f t="shared" si="79"/>
        <v>19417.219965</v>
      </c>
      <c r="AN103" s="54">
        <f t="shared" si="80"/>
        <v>0.558348132487667</v>
      </c>
      <c r="AO103" s="54">
        <f t="shared" si="81"/>
        <v>0.454561467393873</v>
      </c>
      <c r="AP103" s="49"/>
      <c r="AQ103" s="49">
        <v>17737.5</v>
      </c>
      <c r="AR103" s="49">
        <v>4854.30499125</v>
      </c>
      <c r="AS103" s="53">
        <f t="shared" si="82"/>
        <v>0.2736747</v>
      </c>
      <c r="AT103" s="125">
        <f t="shared" si="83"/>
        <v>0</v>
      </c>
      <c r="AU103" s="57">
        <v>60</v>
      </c>
      <c r="AV103" s="118">
        <f>VLOOKUP(B103,[4]门店奖励金额汇总!$A:$D,4,0)</f>
        <v>18</v>
      </c>
    </row>
    <row r="104" spans="1:48">
      <c r="A104" s="23">
        <v>102</v>
      </c>
      <c r="B104" s="24">
        <v>585</v>
      </c>
      <c r="C104" s="24" t="s">
        <v>144</v>
      </c>
      <c r="D104" s="24" t="s">
        <v>139</v>
      </c>
      <c r="E104" s="123">
        <f>VLOOKUP(B104,[3]正式员工人数!$A:$C,3,0)</f>
        <v>3</v>
      </c>
      <c r="F104" s="32">
        <v>2</v>
      </c>
      <c r="G104" s="32">
        <v>150</v>
      </c>
      <c r="H104" s="28">
        <f>VLOOKUP(B104,[1]查询时间段分门店销售汇总!$D$3:$L$145,9,0)</f>
        <v>68344.42</v>
      </c>
      <c r="I104" s="28">
        <f>VLOOKUP(B104,[1]查询时间段分门店销售汇总!$D$3:$M$145,10,0)</f>
        <v>13620.69</v>
      </c>
      <c r="J104" s="32">
        <f t="shared" si="63"/>
        <v>64500</v>
      </c>
      <c r="K104" s="32">
        <f t="shared" si="64"/>
        <v>16099.2</v>
      </c>
      <c r="L104" s="38">
        <v>21500</v>
      </c>
      <c r="M104" s="39">
        <v>5366.4</v>
      </c>
      <c r="N104" s="40">
        <f t="shared" si="65"/>
        <v>0.2496</v>
      </c>
      <c r="O104" s="41">
        <f t="shared" si="66"/>
        <v>1.05960341085271</v>
      </c>
      <c r="P104" s="40">
        <f t="shared" si="67"/>
        <v>0.846047629695886</v>
      </c>
      <c r="Q104" s="43">
        <f>E104*70</f>
        <v>210</v>
      </c>
      <c r="R104" s="43"/>
      <c r="S104" s="43">
        <f t="shared" si="68"/>
        <v>70950</v>
      </c>
      <c r="T104" s="43">
        <f t="shared" si="69"/>
        <v>15938.208</v>
      </c>
      <c r="U104" s="38">
        <v>23650</v>
      </c>
      <c r="V104" s="39">
        <v>5312.736</v>
      </c>
      <c r="W104" s="40">
        <f t="shared" si="70"/>
        <v>0.22464</v>
      </c>
      <c r="X104" s="40">
        <f t="shared" si="71"/>
        <v>0.963275828047921</v>
      </c>
      <c r="Y104" s="40">
        <f t="shared" si="72"/>
        <v>0.854593565349379</v>
      </c>
      <c r="Z104" s="43"/>
      <c r="AA104" s="43"/>
      <c r="AB104" s="47">
        <f>VLOOKUP(B104,[2]查询时间段分门店销售汇总!$D$3:$L$145,9,0)</f>
        <v>47560.35</v>
      </c>
      <c r="AC104" s="47">
        <f>VLOOKUP(B104,[2]查询时间段分门店销售汇总!$D$3:$M$145,10,0)</f>
        <v>12997.54</v>
      </c>
      <c r="AD104" s="48">
        <f t="shared" si="73"/>
        <v>56760</v>
      </c>
      <c r="AE104" s="48">
        <f t="shared" si="74"/>
        <v>15938.208</v>
      </c>
      <c r="AF104" s="49">
        <v>14190</v>
      </c>
      <c r="AG104" s="49">
        <v>3984.552</v>
      </c>
      <c r="AH104" s="53">
        <f t="shared" si="75"/>
        <v>0.2808</v>
      </c>
      <c r="AI104" s="53">
        <f t="shared" si="76"/>
        <v>0.837920190274841</v>
      </c>
      <c r="AJ104" s="53">
        <f t="shared" si="77"/>
        <v>0.815495694371663</v>
      </c>
      <c r="AK104" s="48"/>
      <c r="AL104" s="48">
        <f t="shared" si="78"/>
        <v>70950</v>
      </c>
      <c r="AM104" s="48">
        <f t="shared" si="79"/>
        <v>18328.9392</v>
      </c>
      <c r="AN104" s="54">
        <f t="shared" si="80"/>
        <v>0.670336152219873</v>
      </c>
      <c r="AO104" s="54">
        <f t="shared" si="81"/>
        <v>0.709126690757968</v>
      </c>
      <c r="AP104" s="49"/>
      <c r="AQ104" s="49">
        <v>17737.5</v>
      </c>
      <c r="AR104" s="49">
        <v>4582.2348</v>
      </c>
      <c r="AS104" s="53">
        <f t="shared" si="82"/>
        <v>0.258336</v>
      </c>
      <c r="AT104" s="125">
        <f t="shared" si="83"/>
        <v>210</v>
      </c>
      <c r="AU104" s="57">
        <v>60</v>
      </c>
      <c r="AV104" s="118">
        <f>VLOOKUP(B104,[4]门店奖励金额汇总!$A:$D,4,0)</f>
        <v>26</v>
      </c>
    </row>
    <row r="105" spans="1:49">
      <c r="A105" s="23">
        <v>103</v>
      </c>
      <c r="B105" s="24">
        <v>581</v>
      </c>
      <c r="C105" s="24" t="s">
        <v>145</v>
      </c>
      <c r="D105" s="24" t="s">
        <v>139</v>
      </c>
      <c r="E105" s="123">
        <f>VLOOKUP(B105,[3]正式员工人数!$A:$C,3,0)</f>
        <v>3</v>
      </c>
      <c r="F105" s="32">
        <v>3</v>
      </c>
      <c r="G105" s="32">
        <v>100</v>
      </c>
      <c r="H105" s="28">
        <f>VLOOKUP(B105,[1]查询时间段分门店销售汇总!$D$3:$L$145,9,0)</f>
        <v>64714.6</v>
      </c>
      <c r="I105" s="28">
        <f>VLOOKUP(B105,[1]查询时间段分门店销售汇总!$D$3:$M$145,10,0)</f>
        <v>14502.72</v>
      </c>
      <c r="J105" s="32">
        <f t="shared" si="63"/>
        <v>59040</v>
      </c>
      <c r="K105" s="32">
        <f t="shared" si="64"/>
        <v>12746.97216</v>
      </c>
      <c r="L105" s="38">
        <v>19680</v>
      </c>
      <c r="M105" s="39">
        <v>4248.99072</v>
      </c>
      <c r="N105" s="40">
        <f t="shared" si="65"/>
        <v>0.215904</v>
      </c>
      <c r="O105" s="41">
        <f t="shared" si="66"/>
        <v>1.09611449864499</v>
      </c>
      <c r="P105" s="41">
        <f t="shared" si="67"/>
        <v>1.13773842273772</v>
      </c>
      <c r="Q105" s="43">
        <f>E105*70</f>
        <v>210</v>
      </c>
      <c r="R105" s="43">
        <f>(I105-K105)*0.2</f>
        <v>351.149568</v>
      </c>
      <c r="S105" s="43">
        <f t="shared" si="68"/>
        <v>64944</v>
      </c>
      <c r="T105" s="43">
        <f t="shared" si="69"/>
        <v>12619.5024384</v>
      </c>
      <c r="U105" s="38">
        <v>21648</v>
      </c>
      <c r="V105" s="39">
        <v>4206.5008128</v>
      </c>
      <c r="W105" s="40">
        <f t="shared" si="70"/>
        <v>0.1943136</v>
      </c>
      <c r="X105" s="40">
        <f t="shared" si="71"/>
        <v>0.996467726040897</v>
      </c>
      <c r="Y105" s="41">
        <f t="shared" si="72"/>
        <v>1.1492307300381</v>
      </c>
      <c r="Z105" s="43"/>
      <c r="AA105" s="43"/>
      <c r="AB105" s="47">
        <f>VLOOKUP(B105,[2]查询时间段分门店销售汇总!$D$3:$L$145,9,0)</f>
        <v>48612.3</v>
      </c>
      <c r="AC105" s="47">
        <f>VLOOKUP(B105,[2]查询时间段分门店销售汇总!$D$3:$M$145,10,0)</f>
        <v>12437.57</v>
      </c>
      <c r="AD105" s="48">
        <f t="shared" si="73"/>
        <v>51955.2</v>
      </c>
      <c r="AE105" s="48">
        <f t="shared" si="74"/>
        <v>12619.5024384</v>
      </c>
      <c r="AF105" s="49">
        <v>12988.8</v>
      </c>
      <c r="AG105" s="49">
        <v>3154.8756096</v>
      </c>
      <c r="AH105" s="53">
        <f t="shared" si="75"/>
        <v>0.242892</v>
      </c>
      <c r="AI105" s="53">
        <f t="shared" si="76"/>
        <v>0.935658028455285</v>
      </c>
      <c r="AJ105" s="53">
        <f t="shared" si="77"/>
        <v>0.985583232041986</v>
      </c>
      <c r="AK105" s="48"/>
      <c r="AL105" s="48">
        <f t="shared" si="78"/>
        <v>64944</v>
      </c>
      <c r="AM105" s="48">
        <f t="shared" si="79"/>
        <v>14512.42780416</v>
      </c>
      <c r="AN105" s="54">
        <f t="shared" si="80"/>
        <v>0.748526422764228</v>
      </c>
      <c r="AO105" s="54">
        <f t="shared" si="81"/>
        <v>0.857028897427814</v>
      </c>
      <c r="AP105" s="49"/>
      <c r="AQ105" s="49">
        <v>16236</v>
      </c>
      <c r="AR105" s="49">
        <v>3628.10695104</v>
      </c>
      <c r="AS105" s="53">
        <f t="shared" si="82"/>
        <v>0.22346064</v>
      </c>
      <c r="AT105" s="125">
        <f t="shared" si="83"/>
        <v>561.149568</v>
      </c>
      <c r="AU105" s="57">
        <v>50</v>
      </c>
      <c r="AV105" s="128">
        <f>VLOOKUP(B105,[4]门店奖励金额汇总!$A:$D,4,0)</f>
        <v>72</v>
      </c>
      <c r="AW105" s="76">
        <f>AV105*4</f>
        <v>288</v>
      </c>
    </row>
    <row r="106" spans="1:48">
      <c r="A106" s="23">
        <v>104</v>
      </c>
      <c r="B106" s="24">
        <v>114844</v>
      </c>
      <c r="C106" s="24" t="s">
        <v>146</v>
      </c>
      <c r="D106" s="24" t="s">
        <v>139</v>
      </c>
      <c r="E106" s="123">
        <f>VLOOKUP(B106,[3]正式员工人数!$A:$C,3,0)</f>
        <v>2</v>
      </c>
      <c r="F106" s="32">
        <v>3</v>
      </c>
      <c r="G106" s="32">
        <v>100</v>
      </c>
      <c r="H106" s="28">
        <f>VLOOKUP(B106,[1]查询时间段分门店销售汇总!$D$3:$L$145,9,0)</f>
        <v>28899.43</v>
      </c>
      <c r="I106" s="28">
        <f>VLOOKUP(B106,[1]查询时间段分门店销售汇总!$D$3:$M$145,10,0)</f>
        <v>6053.63</v>
      </c>
      <c r="J106" s="32">
        <f t="shared" si="63"/>
        <v>57600</v>
      </c>
      <c r="K106" s="32">
        <f t="shared" si="64"/>
        <v>9884.16</v>
      </c>
      <c r="L106" s="38">
        <v>19200</v>
      </c>
      <c r="M106" s="39">
        <v>3294.72</v>
      </c>
      <c r="N106" s="40">
        <f t="shared" si="65"/>
        <v>0.1716</v>
      </c>
      <c r="O106" s="40">
        <f t="shared" si="66"/>
        <v>0.501726215277778</v>
      </c>
      <c r="P106" s="40">
        <f t="shared" si="67"/>
        <v>0.61245771011396</v>
      </c>
      <c r="Q106" s="43"/>
      <c r="R106" s="43"/>
      <c r="S106" s="43">
        <f t="shared" si="68"/>
        <v>63360</v>
      </c>
      <c r="T106" s="43">
        <f t="shared" si="69"/>
        <v>9785.3184</v>
      </c>
      <c r="U106" s="38">
        <v>21120</v>
      </c>
      <c r="V106" s="39">
        <v>3261.7728</v>
      </c>
      <c r="W106" s="40">
        <f t="shared" si="70"/>
        <v>0.15444</v>
      </c>
      <c r="X106" s="40">
        <f t="shared" si="71"/>
        <v>0.456114741161616</v>
      </c>
      <c r="Y106" s="40">
        <f t="shared" si="72"/>
        <v>0.618644151630263</v>
      </c>
      <c r="Z106" s="43"/>
      <c r="AA106" s="43"/>
      <c r="AB106" s="47">
        <f>VLOOKUP(B106,[2]查询时间段分门店销售汇总!$D$3:$L$145,9,0)</f>
        <v>30094.79</v>
      </c>
      <c r="AC106" s="47">
        <f>VLOOKUP(B106,[2]查询时间段分门店销售汇总!$D$3:$M$145,10,0)</f>
        <v>6083.81</v>
      </c>
      <c r="AD106" s="48">
        <f t="shared" si="73"/>
        <v>50688</v>
      </c>
      <c r="AE106" s="48">
        <f t="shared" si="74"/>
        <v>9785.3184</v>
      </c>
      <c r="AF106" s="49">
        <v>12672</v>
      </c>
      <c r="AG106" s="49">
        <v>2446.3296</v>
      </c>
      <c r="AH106" s="53">
        <f t="shared" si="75"/>
        <v>0.19305</v>
      </c>
      <c r="AI106" s="53">
        <f t="shared" si="76"/>
        <v>0.593726128472222</v>
      </c>
      <c r="AJ106" s="53">
        <f t="shared" si="77"/>
        <v>0.621728363994778</v>
      </c>
      <c r="AK106" s="48"/>
      <c r="AL106" s="48">
        <f t="shared" si="78"/>
        <v>63360</v>
      </c>
      <c r="AM106" s="48">
        <f t="shared" si="79"/>
        <v>11253.11616</v>
      </c>
      <c r="AN106" s="54">
        <f t="shared" si="80"/>
        <v>0.474980902777778</v>
      </c>
      <c r="AO106" s="54">
        <f t="shared" si="81"/>
        <v>0.540633359995459</v>
      </c>
      <c r="AP106" s="49"/>
      <c r="AQ106" s="49">
        <v>15840</v>
      </c>
      <c r="AR106" s="49">
        <v>2813.27904</v>
      </c>
      <c r="AS106" s="53">
        <f t="shared" si="82"/>
        <v>0.177606</v>
      </c>
      <c r="AT106" s="125">
        <f t="shared" si="83"/>
        <v>0</v>
      </c>
      <c r="AU106" s="57">
        <v>50</v>
      </c>
      <c r="AV106" s="118">
        <f>VLOOKUP(B106,[4]门店奖励金额汇总!$A:$D,4,0)</f>
        <v>17</v>
      </c>
    </row>
    <row r="107" spans="1:48">
      <c r="A107" s="23">
        <v>105</v>
      </c>
      <c r="B107" s="24">
        <v>744</v>
      </c>
      <c r="C107" s="24" t="s">
        <v>147</v>
      </c>
      <c r="D107" s="24" t="s">
        <v>139</v>
      </c>
      <c r="E107" s="123">
        <f>VLOOKUP(B107,[3]正式员工人数!$A:$C,3,0)</f>
        <v>2</v>
      </c>
      <c r="F107" s="32">
        <v>3</v>
      </c>
      <c r="G107" s="32">
        <v>100</v>
      </c>
      <c r="H107" s="28">
        <f>VLOOKUP(B107,[1]查询时间段分门店销售汇总!$D$3:$L$145,9,0)</f>
        <v>53041.7</v>
      </c>
      <c r="I107" s="28">
        <f>VLOOKUP(B107,[1]查询时间段分门店销售汇总!$D$3:$M$145,10,0)</f>
        <v>10555.09</v>
      </c>
      <c r="J107" s="32">
        <f t="shared" si="63"/>
        <v>56160</v>
      </c>
      <c r="K107" s="32">
        <f t="shared" si="64"/>
        <v>12046.32</v>
      </c>
      <c r="L107" s="38">
        <v>18720</v>
      </c>
      <c r="M107" s="39">
        <v>4015.44</v>
      </c>
      <c r="N107" s="40">
        <f t="shared" si="65"/>
        <v>0.2145</v>
      </c>
      <c r="O107" s="40">
        <f t="shared" si="66"/>
        <v>0.944474715099715</v>
      </c>
      <c r="P107" s="40">
        <f t="shared" si="67"/>
        <v>0.876208667875335</v>
      </c>
      <c r="Q107" s="43"/>
      <c r="R107" s="43"/>
      <c r="S107" s="43">
        <f t="shared" si="68"/>
        <v>61776</v>
      </c>
      <c r="T107" s="43">
        <f t="shared" si="69"/>
        <v>11925.8568</v>
      </c>
      <c r="U107" s="38">
        <v>20592</v>
      </c>
      <c r="V107" s="39">
        <v>3975.2856</v>
      </c>
      <c r="W107" s="40">
        <f t="shared" si="70"/>
        <v>0.19305</v>
      </c>
      <c r="X107" s="40">
        <f t="shared" si="71"/>
        <v>0.858613377363377</v>
      </c>
      <c r="Y107" s="40">
        <f t="shared" si="72"/>
        <v>0.885059260480136</v>
      </c>
      <c r="Z107" s="43"/>
      <c r="AA107" s="43"/>
      <c r="AB107" s="47">
        <f>VLOOKUP(B107,[2]查询时间段分门店销售汇总!$D$3:$L$145,9,0)</f>
        <v>35201.61</v>
      </c>
      <c r="AC107" s="47">
        <f>VLOOKUP(B107,[2]查询时间段分门店销售汇总!$D$3:$M$145,10,0)</f>
        <v>8347.55</v>
      </c>
      <c r="AD107" s="48">
        <f t="shared" si="73"/>
        <v>49420.8</v>
      </c>
      <c r="AE107" s="48">
        <f t="shared" si="74"/>
        <v>11925.8568</v>
      </c>
      <c r="AF107" s="49">
        <v>12355.2</v>
      </c>
      <c r="AG107" s="49">
        <v>2981.4642</v>
      </c>
      <c r="AH107" s="53">
        <f t="shared" si="75"/>
        <v>0.2413125</v>
      </c>
      <c r="AI107" s="53">
        <f t="shared" si="76"/>
        <v>0.71228328962704</v>
      </c>
      <c r="AJ107" s="53">
        <f t="shared" si="77"/>
        <v>0.699953901844604</v>
      </c>
      <c r="AK107" s="48"/>
      <c r="AL107" s="48">
        <f t="shared" si="78"/>
        <v>61776</v>
      </c>
      <c r="AM107" s="48">
        <f t="shared" si="79"/>
        <v>13714.73532</v>
      </c>
      <c r="AN107" s="54">
        <f t="shared" si="80"/>
        <v>0.569826631701632</v>
      </c>
      <c r="AO107" s="54">
        <f t="shared" si="81"/>
        <v>0.608655566821395</v>
      </c>
      <c r="AP107" s="49"/>
      <c r="AQ107" s="49">
        <v>15444</v>
      </c>
      <c r="AR107" s="49">
        <v>3428.68383</v>
      </c>
      <c r="AS107" s="53">
        <f t="shared" si="82"/>
        <v>0.2220075</v>
      </c>
      <c r="AT107" s="125">
        <f t="shared" si="83"/>
        <v>0</v>
      </c>
      <c r="AU107" s="57">
        <v>50</v>
      </c>
      <c r="AV107" s="118">
        <f>VLOOKUP(B107,[4]门店奖励金额汇总!$A:$D,4,0)</f>
        <v>20</v>
      </c>
    </row>
    <row r="108" spans="1:48">
      <c r="A108" s="23">
        <v>106</v>
      </c>
      <c r="B108" s="24">
        <v>578</v>
      </c>
      <c r="C108" s="24" t="s">
        <v>148</v>
      </c>
      <c r="D108" s="24" t="s">
        <v>139</v>
      </c>
      <c r="E108" s="123">
        <f>VLOOKUP(B108,[3]正式员工人数!$A:$C,3,0)</f>
        <v>2</v>
      </c>
      <c r="F108" s="32">
        <v>4</v>
      </c>
      <c r="G108" s="32">
        <v>100</v>
      </c>
      <c r="H108" s="28">
        <f>VLOOKUP(B108,[1]查询时间段分门店销售汇总!$D$3:$L$145,9,0)</f>
        <v>20665.44</v>
      </c>
      <c r="I108" s="28">
        <f>VLOOKUP(B108,[1]查询时间段分门店销售汇总!$D$3:$M$145,10,0)</f>
        <v>6499.68</v>
      </c>
      <c r="J108" s="32">
        <f t="shared" si="63"/>
        <v>56250</v>
      </c>
      <c r="K108" s="32">
        <f t="shared" si="64"/>
        <v>13601.25</v>
      </c>
      <c r="L108" s="38">
        <v>18750</v>
      </c>
      <c r="M108" s="39">
        <v>4533.75</v>
      </c>
      <c r="N108" s="40">
        <f t="shared" si="65"/>
        <v>0.2418</v>
      </c>
      <c r="O108" s="40">
        <f t="shared" si="66"/>
        <v>0.3673856</v>
      </c>
      <c r="P108" s="40">
        <f t="shared" si="67"/>
        <v>0.477873724841467</v>
      </c>
      <c r="Q108" s="43"/>
      <c r="R108" s="43"/>
      <c r="S108" s="43">
        <f t="shared" si="68"/>
        <v>61875</v>
      </c>
      <c r="T108" s="43">
        <f t="shared" si="69"/>
        <v>13465.2375</v>
      </c>
      <c r="U108" s="38">
        <v>20625</v>
      </c>
      <c r="V108" s="39">
        <v>4488.4125</v>
      </c>
      <c r="W108" s="40">
        <f t="shared" si="70"/>
        <v>0.21762</v>
      </c>
      <c r="X108" s="40">
        <f t="shared" si="71"/>
        <v>0.333986909090909</v>
      </c>
      <c r="Y108" s="40">
        <f t="shared" si="72"/>
        <v>0.482700732163098</v>
      </c>
      <c r="Z108" s="43"/>
      <c r="AA108" s="43"/>
      <c r="AB108" s="47">
        <f>VLOOKUP(B108,[2]查询时间段分门店销售汇总!$D$3:$L$145,9,0)</f>
        <v>54171.48</v>
      </c>
      <c r="AC108" s="47">
        <f>VLOOKUP(B108,[2]查询时间段分门店销售汇总!$D$3:$M$145,10,0)</f>
        <v>15587.34</v>
      </c>
      <c r="AD108" s="48">
        <f t="shared" si="73"/>
        <v>49500</v>
      </c>
      <c r="AE108" s="48">
        <f t="shared" si="74"/>
        <v>13465.2375</v>
      </c>
      <c r="AF108" s="49">
        <v>12375</v>
      </c>
      <c r="AG108" s="49">
        <v>3366.309375</v>
      </c>
      <c r="AH108" s="53">
        <f t="shared" si="75"/>
        <v>0.272025</v>
      </c>
      <c r="AI108" s="41">
        <f t="shared" si="76"/>
        <v>1.09437333333333</v>
      </c>
      <c r="AJ108" s="41">
        <f t="shared" si="77"/>
        <v>1.15759859415773</v>
      </c>
      <c r="AK108" s="48">
        <v>300</v>
      </c>
      <c r="AL108" s="48">
        <f t="shared" si="78"/>
        <v>61875</v>
      </c>
      <c r="AM108" s="48">
        <f t="shared" si="79"/>
        <v>15485.023125</v>
      </c>
      <c r="AN108" s="54">
        <f t="shared" si="80"/>
        <v>0.875498666666667</v>
      </c>
      <c r="AO108" s="54">
        <f t="shared" si="81"/>
        <v>1.00660747318064</v>
      </c>
      <c r="AP108" s="49"/>
      <c r="AQ108" s="49">
        <v>15468.75</v>
      </c>
      <c r="AR108" s="49">
        <v>3871.25578125</v>
      </c>
      <c r="AS108" s="53">
        <f t="shared" si="82"/>
        <v>0.250263</v>
      </c>
      <c r="AT108" s="125">
        <f t="shared" si="83"/>
        <v>300</v>
      </c>
      <c r="AU108" s="57">
        <v>50</v>
      </c>
      <c r="AV108" s="118">
        <f>VLOOKUP(B108,[4]门店奖励金额汇总!$A:$D,4,0)</f>
        <v>8</v>
      </c>
    </row>
    <row r="109" spans="1:49">
      <c r="A109" s="23">
        <v>107</v>
      </c>
      <c r="B109" s="24">
        <v>724</v>
      </c>
      <c r="C109" s="24" t="s">
        <v>149</v>
      </c>
      <c r="D109" s="24" t="s">
        <v>139</v>
      </c>
      <c r="E109" s="123">
        <f>VLOOKUP(B109,[3]正式员工人数!$A:$C,3,0)</f>
        <v>3</v>
      </c>
      <c r="F109" s="32">
        <v>4</v>
      </c>
      <c r="G109" s="32">
        <v>100</v>
      </c>
      <c r="H109" s="28">
        <f>VLOOKUP(B109,[1]查询时间段分门店销售汇总!$D$3:$L$145,9,0)</f>
        <v>35233.34</v>
      </c>
      <c r="I109" s="28">
        <f>VLOOKUP(B109,[1]查询时间段分门店销售汇总!$D$3:$M$145,10,0)</f>
        <v>7840.71</v>
      </c>
      <c r="J109" s="32">
        <f t="shared" si="63"/>
        <v>53280</v>
      </c>
      <c r="K109" s="32">
        <f t="shared" si="64"/>
        <v>12924.6624</v>
      </c>
      <c r="L109" s="38">
        <v>17760</v>
      </c>
      <c r="M109" s="39">
        <v>4308.2208</v>
      </c>
      <c r="N109" s="40">
        <f t="shared" si="65"/>
        <v>0.24258</v>
      </c>
      <c r="O109" s="40">
        <f t="shared" si="66"/>
        <v>0.661286411411411</v>
      </c>
      <c r="P109" s="40">
        <f t="shared" si="67"/>
        <v>0.606647180200235</v>
      </c>
      <c r="Q109" s="43"/>
      <c r="R109" s="43"/>
      <c r="S109" s="43">
        <f t="shared" si="68"/>
        <v>58608</v>
      </c>
      <c r="T109" s="43">
        <f t="shared" si="69"/>
        <v>12795.415776</v>
      </c>
      <c r="U109" s="38">
        <v>19536</v>
      </c>
      <c r="V109" s="39">
        <v>4265.138592</v>
      </c>
      <c r="W109" s="40">
        <f t="shared" si="70"/>
        <v>0.218322</v>
      </c>
      <c r="X109" s="40">
        <f t="shared" si="71"/>
        <v>0.601169464919465</v>
      </c>
      <c r="Y109" s="40">
        <f t="shared" si="72"/>
        <v>0.612774929495187</v>
      </c>
      <c r="Z109" s="43"/>
      <c r="AA109" s="43"/>
      <c r="AB109" s="47">
        <f>VLOOKUP(B109,[2]查询时间段分门店销售汇总!$D$3:$L$145,9,0)</f>
        <v>38364.2</v>
      </c>
      <c r="AC109" s="47">
        <f>VLOOKUP(B109,[2]查询时间段分门店销售汇总!$D$3:$M$145,10,0)</f>
        <v>5642.31</v>
      </c>
      <c r="AD109" s="48">
        <f t="shared" si="73"/>
        <v>46886.4</v>
      </c>
      <c r="AE109" s="48">
        <f t="shared" si="74"/>
        <v>12795.415776</v>
      </c>
      <c r="AF109" s="49">
        <v>11721.6</v>
      </c>
      <c r="AG109" s="49">
        <v>3198.853944</v>
      </c>
      <c r="AH109" s="53">
        <f t="shared" si="75"/>
        <v>0.2729025</v>
      </c>
      <c r="AI109" s="53">
        <f t="shared" si="76"/>
        <v>0.818237271362271</v>
      </c>
      <c r="AJ109" s="53">
        <f t="shared" si="77"/>
        <v>0.440963396483225</v>
      </c>
      <c r="AK109" s="48"/>
      <c r="AL109" s="48">
        <f t="shared" si="78"/>
        <v>58608</v>
      </c>
      <c r="AM109" s="48">
        <f t="shared" si="79"/>
        <v>14714.7281424</v>
      </c>
      <c r="AN109" s="54">
        <f t="shared" si="80"/>
        <v>0.654589817089817</v>
      </c>
      <c r="AO109" s="54">
        <f t="shared" si="81"/>
        <v>0.383446431724544</v>
      </c>
      <c r="AP109" s="49"/>
      <c r="AQ109" s="49">
        <v>14652</v>
      </c>
      <c r="AR109" s="49">
        <v>3678.6820356</v>
      </c>
      <c r="AS109" s="53">
        <f t="shared" si="82"/>
        <v>0.2510703</v>
      </c>
      <c r="AT109" s="125">
        <f t="shared" si="83"/>
        <v>0</v>
      </c>
      <c r="AU109" s="57">
        <v>50</v>
      </c>
      <c r="AV109" s="128">
        <f>VLOOKUP(B109,[4]门店奖励金额汇总!$A:$D,4,0)</f>
        <v>89</v>
      </c>
      <c r="AW109" s="76">
        <f>AV109*4</f>
        <v>356</v>
      </c>
    </row>
    <row r="110" spans="1:48">
      <c r="A110" s="23">
        <v>108</v>
      </c>
      <c r="B110" s="24">
        <v>747</v>
      </c>
      <c r="C110" s="24" t="s">
        <v>150</v>
      </c>
      <c r="D110" s="24" t="s">
        <v>139</v>
      </c>
      <c r="E110" s="123">
        <f>VLOOKUP(B110,[3]正式员工人数!$A:$C,3,0)</f>
        <v>2</v>
      </c>
      <c r="F110" s="32">
        <v>5</v>
      </c>
      <c r="G110" s="32">
        <v>100</v>
      </c>
      <c r="H110" s="28">
        <f>VLOOKUP(B110,[1]查询时间段分门店销售汇总!$D$3:$L$145,9,0)</f>
        <v>54647.23</v>
      </c>
      <c r="I110" s="28">
        <f>VLOOKUP(B110,[1]查询时间段分门店销售汇总!$D$3:$M$145,10,0)</f>
        <v>10581.3</v>
      </c>
      <c r="J110" s="32">
        <f t="shared" si="63"/>
        <v>48960</v>
      </c>
      <c r="K110" s="32">
        <f t="shared" si="64"/>
        <v>9356.256</v>
      </c>
      <c r="L110" s="38">
        <v>16320</v>
      </c>
      <c r="M110" s="39">
        <v>3118.752</v>
      </c>
      <c r="N110" s="40">
        <f t="shared" si="65"/>
        <v>0.1911</v>
      </c>
      <c r="O110" s="41">
        <f t="shared" si="66"/>
        <v>1.11616074346405</v>
      </c>
      <c r="P110" s="41">
        <f t="shared" si="67"/>
        <v>1.13093314248776</v>
      </c>
      <c r="Q110" s="43"/>
      <c r="R110" s="43"/>
      <c r="S110" s="43">
        <f t="shared" si="68"/>
        <v>53856</v>
      </c>
      <c r="T110" s="43">
        <f t="shared" si="69"/>
        <v>9262.69344</v>
      </c>
      <c r="U110" s="38">
        <v>17952</v>
      </c>
      <c r="V110" s="39">
        <v>3087.56448</v>
      </c>
      <c r="W110" s="40">
        <f t="shared" si="70"/>
        <v>0.17199</v>
      </c>
      <c r="X110" s="41">
        <f t="shared" si="71"/>
        <v>1.01469158496732</v>
      </c>
      <c r="Y110" s="41">
        <f t="shared" si="72"/>
        <v>1.1423567095836</v>
      </c>
      <c r="Z110" s="43">
        <f>150*E110</f>
        <v>300</v>
      </c>
      <c r="AA110" s="43">
        <f>(I110-K110)*0.3</f>
        <v>367.5132</v>
      </c>
      <c r="AB110" s="47">
        <f>VLOOKUP(B110,[2]查询时间段分门店销售汇总!$D$3:$L$145,9,0)</f>
        <v>58066.04</v>
      </c>
      <c r="AC110" s="47">
        <f>VLOOKUP(B110,[2]查询时间段分门店销售汇总!$D$3:$M$145,10,0)</f>
        <v>11847.51</v>
      </c>
      <c r="AD110" s="48">
        <f t="shared" si="73"/>
        <v>43084.8</v>
      </c>
      <c r="AE110" s="48">
        <f t="shared" si="74"/>
        <v>9262.69344</v>
      </c>
      <c r="AF110" s="49">
        <v>10771.2</v>
      </c>
      <c r="AG110" s="49">
        <v>2315.67336</v>
      </c>
      <c r="AH110" s="53">
        <f t="shared" si="75"/>
        <v>0.2149875</v>
      </c>
      <c r="AI110" s="41">
        <f t="shared" si="76"/>
        <v>1.34771520350564</v>
      </c>
      <c r="AJ110" s="41">
        <f t="shared" si="77"/>
        <v>1.27905668872055</v>
      </c>
      <c r="AK110" s="48">
        <v>500</v>
      </c>
      <c r="AL110" s="48">
        <f t="shared" si="78"/>
        <v>53856</v>
      </c>
      <c r="AM110" s="48">
        <f t="shared" si="79"/>
        <v>10652.097456</v>
      </c>
      <c r="AN110" s="59">
        <f t="shared" si="80"/>
        <v>1.07817216280452</v>
      </c>
      <c r="AO110" s="59">
        <f t="shared" si="81"/>
        <v>1.11222320758309</v>
      </c>
      <c r="AP110" s="49">
        <f>(AC110-AM110)*0.1</f>
        <v>119.5412544</v>
      </c>
      <c r="AQ110" s="49">
        <v>13464</v>
      </c>
      <c r="AR110" s="49">
        <v>2663.024364</v>
      </c>
      <c r="AS110" s="53">
        <f t="shared" si="82"/>
        <v>0.1977885</v>
      </c>
      <c r="AT110" s="125">
        <f t="shared" si="83"/>
        <v>1287.0544544</v>
      </c>
      <c r="AU110" s="57">
        <v>50</v>
      </c>
      <c r="AV110" s="118">
        <f>VLOOKUP(B110,[4]门店奖励金额汇总!$A:$D,4,0)</f>
        <v>43</v>
      </c>
    </row>
    <row r="111" spans="1:48">
      <c r="A111" s="23">
        <v>109</v>
      </c>
      <c r="B111" s="24">
        <v>114622</v>
      </c>
      <c r="C111" s="24" t="s">
        <v>151</v>
      </c>
      <c r="D111" s="24" t="s">
        <v>139</v>
      </c>
      <c r="E111" s="123">
        <f>VLOOKUP(B111,[3]正式员工人数!$A:$C,3,0)</f>
        <v>2</v>
      </c>
      <c r="F111" s="32">
        <v>5</v>
      </c>
      <c r="G111" s="32">
        <v>100</v>
      </c>
      <c r="H111" s="28">
        <f>VLOOKUP(B111,[1]查询时间段分门店销售汇总!$D$3:$L$145,9,0)</f>
        <v>8740</v>
      </c>
      <c r="I111" s="28">
        <f>VLOOKUP(B111,[1]查询时间段分门店销售汇总!$D$3:$M$145,10,0)</f>
        <v>2820</v>
      </c>
      <c r="J111" s="32">
        <f t="shared" si="63"/>
        <v>46800</v>
      </c>
      <c r="K111" s="32">
        <f t="shared" si="64"/>
        <v>12769.0992</v>
      </c>
      <c r="L111" s="38">
        <v>15600</v>
      </c>
      <c r="M111" s="39">
        <v>4256.3664</v>
      </c>
      <c r="N111" s="40">
        <f t="shared" si="65"/>
        <v>0.272844</v>
      </c>
      <c r="O111" s="40">
        <f t="shared" si="66"/>
        <v>0.186752136752137</v>
      </c>
      <c r="P111" s="40">
        <f t="shared" si="67"/>
        <v>0.220845649002398</v>
      </c>
      <c r="Q111" s="43"/>
      <c r="R111" s="43"/>
      <c r="S111" s="43">
        <f t="shared" si="68"/>
        <v>51480</v>
      </c>
      <c r="T111" s="43">
        <f t="shared" si="69"/>
        <v>12641.408208</v>
      </c>
      <c r="U111" s="38">
        <v>17160</v>
      </c>
      <c r="V111" s="39">
        <v>4213.802736</v>
      </c>
      <c r="W111" s="40">
        <f t="shared" si="70"/>
        <v>0.2455596</v>
      </c>
      <c r="X111" s="40">
        <f t="shared" si="71"/>
        <v>0.16977466977467</v>
      </c>
      <c r="Y111" s="40">
        <f t="shared" si="72"/>
        <v>0.223076413133735</v>
      </c>
      <c r="Z111" s="43"/>
      <c r="AA111" s="43"/>
      <c r="AB111" s="47">
        <f>VLOOKUP(B111,[2]查询时间段分门店销售汇总!$D$3:$L$145,9,0)</f>
        <v>24824.86</v>
      </c>
      <c r="AC111" s="47">
        <f>VLOOKUP(B111,[2]查询时间段分门店销售汇总!$D$3:$M$145,10,0)</f>
        <v>5949.46</v>
      </c>
      <c r="AD111" s="48">
        <f t="shared" si="73"/>
        <v>41184</v>
      </c>
      <c r="AE111" s="48">
        <f t="shared" si="74"/>
        <v>12641.408208</v>
      </c>
      <c r="AF111" s="49">
        <v>10296</v>
      </c>
      <c r="AG111" s="49">
        <v>3160.352052</v>
      </c>
      <c r="AH111" s="53">
        <f t="shared" si="75"/>
        <v>0.3069495</v>
      </c>
      <c r="AI111" s="53">
        <f t="shared" si="76"/>
        <v>0.602779234654235</v>
      </c>
      <c r="AJ111" s="53">
        <f t="shared" si="77"/>
        <v>0.470632693930012</v>
      </c>
      <c r="AK111" s="48"/>
      <c r="AL111" s="48">
        <f t="shared" si="78"/>
        <v>51480</v>
      </c>
      <c r="AM111" s="48">
        <f t="shared" si="79"/>
        <v>14537.6194392</v>
      </c>
      <c r="AN111" s="54">
        <f t="shared" si="80"/>
        <v>0.482223387723388</v>
      </c>
      <c r="AO111" s="54">
        <f t="shared" si="81"/>
        <v>0.409245820808706</v>
      </c>
      <c r="AP111" s="49"/>
      <c r="AQ111" s="49">
        <v>12870</v>
      </c>
      <c r="AR111" s="49">
        <v>3634.4048598</v>
      </c>
      <c r="AS111" s="53">
        <f t="shared" si="82"/>
        <v>0.28239354</v>
      </c>
      <c r="AT111" s="125">
        <f t="shared" si="83"/>
        <v>0</v>
      </c>
      <c r="AU111" s="57">
        <v>50</v>
      </c>
      <c r="AV111" s="118">
        <f>VLOOKUP(B111,[4]门店奖励金额汇总!$A:$D,4,0)</f>
        <v>30</v>
      </c>
    </row>
    <row r="112" spans="1:49">
      <c r="A112" s="23">
        <v>110</v>
      </c>
      <c r="B112" s="24">
        <v>598</v>
      </c>
      <c r="C112" s="24" t="s">
        <v>152</v>
      </c>
      <c r="D112" s="24" t="s">
        <v>139</v>
      </c>
      <c r="E112" s="123">
        <f>VLOOKUP(B112,[3]正式员工人数!$A:$C,3,0)</f>
        <v>3</v>
      </c>
      <c r="F112" s="32">
        <v>6</v>
      </c>
      <c r="G112" s="32">
        <v>100</v>
      </c>
      <c r="H112" s="28">
        <f>VLOOKUP(B112,[1]查询时间段分门店销售汇总!$D$3:$L$145,9,0)</f>
        <v>42213.25</v>
      </c>
      <c r="I112" s="28">
        <f>VLOOKUP(B112,[1]查询时间段分门店销售汇总!$D$3:$M$145,10,0)</f>
        <v>8220.3</v>
      </c>
      <c r="J112" s="32">
        <f t="shared" si="63"/>
        <v>43200</v>
      </c>
      <c r="K112" s="32">
        <f t="shared" si="64"/>
        <v>11207.2896</v>
      </c>
      <c r="L112" s="38">
        <v>14400</v>
      </c>
      <c r="M112" s="39">
        <v>3735.7632</v>
      </c>
      <c r="N112" s="40">
        <f t="shared" si="65"/>
        <v>0.259428</v>
      </c>
      <c r="O112" s="40">
        <f t="shared" si="66"/>
        <v>0.977158564814815</v>
      </c>
      <c r="P112" s="40">
        <f t="shared" si="67"/>
        <v>0.733477967768407</v>
      </c>
      <c r="Q112" s="43"/>
      <c r="R112" s="43"/>
      <c r="S112" s="43">
        <f t="shared" si="68"/>
        <v>47520</v>
      </c>
      <c r="T112" s="43">
        <f t="shared" si="69"/>
        <v>11095.216704</v>
      </c>
      <c r="U112" s="38">
        <v>15840</v>
      </c>
      <c r="V112" s="39">
        <v>3698.405568</v>
      </c>
      <c r="W112" s="40">
        <f t="shared" si="70"/>
        <v>0.2334852</v>
      </c>
      <c r="X112" s="40">
        <f t="shared" si="71"/>
        <v>0.888325968013468</v>
      </c>
      <c r="Y112" s="40">
        <f t="shared" si="72"/>
        <v>0.740886836129704</v>
      </c>
      <c r="Z112" s="43"/>
      <c r="AA112" s="43"/>
      <c r="AB112" s="47">
        <f>VLOOKUP(B112,[2]查询时间段分门店销售汇总!$D$3:$L$145,9,0)</f>
        <v>27299.2</v>
      </c>
      <c r="AC112" s="47">
        <f>VLOOKUP(B112,[2]查询时间段分门店销售汇总!$D$3:$M$145,10,0)</f>
        <v>6537.66</v>
      </c>
      <c r="AD112" s="48">
        <f t="shared" si="73"/>
        <v>38016</v>
      </c>
      <c r="AE112" s="48">
        <f t="shared" si="74"/>
        <v>11095.216704</v>
      </c>
      <c r="AF112" s="49">
        <v>9504</v>
      </c>
      <c r="AG112" s="49">
        <v>2773.804176</v>
      </c>
      <c r="AH112" s="53">
        <f t="shared" si="75"/>
        <v>0.2918565</v>
      </c>
      <c r="AI112" s="53">
        <f t="shared" si="76"/>
        <v>0.718097643097643</v>
      </c>
      <c r="AJ112" s="53">
        <f t="shared" si="77"/>
        <v>0.589232294817917</v>
      </c>
      <c r="AK112" s="48"/>
      <c r="AL112" s="48">
        <f t="shared" si="78"/>
        <v>47520</v>
      </c>
      <c r="AM112" s="48">
        <f t="shared" si="79"/>
        <v>12759.4992096</v>
      </c>
      <c r="AN112" s="54">
        <f t="shared" si="80"/>
        <v>0.574478114478114</v>
      </c>
      <c r="AO112" s="54">
        <f t="shared" si="81"/>
        <v>0.512375908537319</v>
      </c>
      <c r="AP112" s="49"/>
      <c r="AQ112" s="49">
        <v>11880</v>
      </c>
      <c r="AR112" s="49">
        <v>3189.8748024</v>
      </c>
      <c r="AS112" s="53">
        <f t="shared" si="82"/>
        <v>0.26850798</v>
      </c>
      <c r="AT112" s="125">
        <f t="shared" si="83"/>
        <v>0</v>
      </c>
      <c r="AU112" s="57">
        <v>50</v>
      </c>
      <c r="AV112" s="128">
        <f>VLOOKUP(B112,[4]门店奖励金额汇总!$A:$D,4,0)</f>
        <v>60</v>
      </c>
      <c r="AW112" s="76">
        <f>AV112*4</f>
        <v>240</v>
      </c>
    </row>
    <row r="113" spans="1:48">
      <c r="A113" s="23">
        <v>111</v>
      </c>
      <c r="B113" s="24">
        <v>117184</v>
      </c>
      <c r="C113" s="24" t="s">
        <v>153</v>
      </c>
      <c r="D113" s="24" t="s">
        <v>139</v>
      </c>
      <c r="E113" s="123">
        <f>VLOOKUP(B113,[3]正式员工人数!$A:$C,3,0)</f>
        <v>4</v>
      </c>
      <c r="F113" s="32">
        <v>6</v>
      </c>
      <c r="G113" s="32">
        <v>100</v>
      </c>
      <c r="H113" s="28">
        <f>VLOOKUP(B113,[1]查询时间段分门店销售汇总!$D$3:$L$145,9,0)</f>
        <v>35902.96</v>
      </c>
      <c r="I113" s="28">
        <f>VLOOKUP(B113,[1]查询时间段分门店销售汇总!$D$3:$M$145,10,0)</f>
        <v>9218.2</v>
      </c>
      <c r="J113" s="32">
        <f t="shared" si="63"/>
        <v>41760</v>
      </c>
      <c r="K113" s="32">
        <f t="shared" si="64"/>
        <v>10749.024</v>
      </c>
      <c r="L113" s="38">
        <v>13920</v>
      </c>
      <c r="M113" s="39">
        <v>3583.008</v>
      </c>
      <c r="N113" s="40">
        <f t="shared" si="65"/>
        <v>0.2574</v>
      </c>
      <c r="O113" s="40">
        <f t="shared" si="66"/>
        <v>0.859745210727969</v>
      </c>
      <c r="P113" s="40">
        <f t="shared" si="67"/>
        <v>0.857584837469895</v>
      </c>
      <c r="Q113" s="43"/>
      <c r="R113" s="43"/>
      <c r="S113" s="43">
        <f t="shared" si="68"/>
        <v>45936</v>
      </c>
      <c r="T113" s="43">
        <f t="shared" si="69"/>
        <v>10641.53376</v>
      </c>
      <c r="U113" s="38">
        <v>15312</v>
      </c>
      <c r="V113" s="39">
        <v>3547.17792</v>
      </c>
      <c r="W113" s="40">
        <f t="shared" si="70"/>
        <v>0.23166</v>
      </c>
      <c r="X113" s="40">
        <f t="shared" si="71"/>
        <v>0.781586555207245</v>
      </c>
      <c r="Y113" s="40">
        <f t="shared" si="72"/>
        <v>0.866247310575652</v>
      </c>
      <c r="Z113" s="43"/>
      <c r="AA113" s="43"/>
      <c r="AB113" s="47">
        <f>VLOOKUP(B113,[2]查询时间段分门店销售汇总!$D$3:$L$145,9,0)</f>
        <v>29258.2</v>
      </c>
      <c r="AC113" s="47">
        <f>VLOOKUP(B113,[2]查询时间段分门店销售汇总!$D$3:$M$145,10,0)</f>
        <v>7255.6</v>
      </c>
      <c r="AD113" s="48">
        <f t="shared" si="73"/>
        <v>36748.8</v>
      </c>
      <c r="AE113" s="48">
        <f t="shared" si="74"/>
        <v>10641.53376</v>
      </c>
      <c r="AF113" s="49">
        <v>9187.2</v>
      </c>
      <c r="AG113" s="49">
        <v>2660.38344</v>
      </c>
      <c r="AH113" s="53">
        <f t="shared" si="75"/>
        <v>0.289575</v>
      </c>
      <c r="AI113" s="53">
        <f t="shared" si="76"/>
        <v>0.796167493904563</v>
      </c>
      <c r="AJ113" s="53">
        <f t="shared" si="77"/>
        <v>0.681819008766646</v>
      </c>
      <c r="AK113" s="48"/>
      <c r="AL113" s="48">
        <f t="shared" si="78"/>
        <v>45936</v>
      </c>
      <c r="AM113" s="48">
        <f t="shared" si="79"/>
        <v>12237.763824</v>
      </c>
      <c r="AN113" s="54">
        <f t="shared" si="80"/>
        <v>0.63693399512365</v>
      </c>
      <c r="AO113" s="54">
        <f t="shared" si="81"/>
        <v>0.592886094579692</v>
      </c>
      <c r="AP113" s="49"/>
      <c r="AQ113" s="49">
        <v>11484</v>
      </c>
      <c r="AR113" s="49">
        <v>3059.440956</v>
      </c>
      <c r="AS113" s="53">
        <f t="shared" si="82"/>
        <v>0.266409</v>
      </c>
      <c r="AT113" s="125">
        <f t="shared" si="83"/>
        <v>0</v>
      </c>
      <c r="AU113" s="57">
        <v>50</v>
      </c>
      <c r="AV113" s="118">
        <f>VLOOKUP(B113,[4]门店奖励金额汇总!$A:$D,4,0)</f>
        <v>38</v>
      </c>
    </row>
    <row r="114" spans="1:48">
      <c r="A114" s="23">
        <v>112</v>
      </c>
      <c r="B114" s="24">
        <v>103199</v>
      </c>
      <c r="C114" s="24" t="s">
        <v>154</v>
      </c>
      <c r="D114" s="24" t="s">
        <v>139</v>
      </c>
      <c r="E114" s="123">
        <f>VLOOKUP(B114,[3]正式员工人数!$A:$C,3,0)</f>
        <v>2</v>
      </c>
      <c r="F114" s="32">
        <v>7</v>
      </c>
      <c r="G114" s="32">
        <v>100</v>
      </c>
      <c r="H114" s="28">
        <f>VLOOKUP(B114,[1]查询时间段分门店销售汇总!$D$3:$L$145,9,0)</f>
        <v>29192.68</v>
      </c>
      <c r="I114" s="28">
        <f>VLOOKUP(B114,[1]查询时间段分门店销售汇总!$D$3:$M$145,10,0)</f>
        <v>8195.95</v>
      </c>
      <c r="J114" s="32">
        <f t="shared" si="63"/>
        <v>38160</v>
      </c>
      <c r="K114" s="32">
        <f t="shared" si="64"/>
        <v>9944.41968</v>
      </c>
      <c r="L114" s="38">
        <v>12720</v>
      </c>
      <c r="M114" s="39">
        <v>3314.80656</v>
      </c>
      <c r="N114" s="40">
        <f t="shared" si="65"/>
        <v>0.260598</v>
      </c>
      <c r="O114" s="40">
        <f t="shared" si="66"/>
        <v>0.765007337526205</v>
      </c>
      <c r="P114" s="40">
        <f t="shared" si="67"/>
        <v>0.824175795444707</v>
      </c>
      <c r="Q114" s="43"/>
      <c r="R114" s="43"/>
      <c r="S114" s="43">
        <f t="shared" si="68"/>
        <v>41976</v>
      </c>
      <c r="T114" s="43">
        <f t="shared" si="69"/>
        <v>9844.9754832</v>
      </c>
      <c r="U114" s="38">
        <v>13992</v>
      </c>
      <c r="V114" s="39">
        <v>3281.6584944</v>
      </c>
      <c r="W114" s="40">
        <f t="shared" si="70"/>
        <v>0.2345382</v>
      </c>
      <c r="X114" s="40">
        <f t="shared" si="71"/>
        <v>0.695461215932914</v>
      </c>
      <c r="Y114" s="40">
        <f t="shared" si="72"/>
        <v>0.832500803479502</v>
      </c>
      <c r="Z114" s="43"/>
      <c r="AA114" s="43"/>
      <c r="AB114" s="47">
        <f>VLOOKUP(B114,[2]查询时间段分门店销售汇总!$D$3:$L$145,9,0)</f>
        <v>23655.51</v>
      </c>
      <c r="AC114" s="47">
        <f>VLOOKUP(B114,[2]查询时间段分门店销售汇总!$D$3:$M$145,10,0)</f>
        <v>6218.28</v>
      </c>
      <c r="AD114" s="48">
        <f t="shared" si="73"/>
        <v>33580.8</v>
      </c>
      <c r="AE114" s="48">
        <f t="shared" si="74"/>
        <v>9844.9754832</v>
      </c>
      <c r="AF114" s="49">
        <v>8395.2</v>
      </c>
      <c r="AG114" s="49">
        <v>2461.2438708</v>
      </c>
      <c r="AH114" s="53">
        <f t="shared" si="75"/>
        <v>0.29317275</v>
      </c>
      <c r="AI114" s="53">
        <f t="shared" si="76"/>
        <v>0.7044355703259</v>
      </c>
      <c r="AJ114" s="53">
        <f t="shared" si="77"/>
        <v>0.631619653153145</v>
      </c>
      <c r="AK114" s="48"/>
      <c r="AL114" s="48">
        <f t="shared" si="78"/>
        <v>41976</v>
      </c>
      <c r="AM114" s="48">
        <f t="shared" si="79"/>
        <v>11321.72180568</v>
      </c>
      <c r="AN114" s="54">
        <f t="shared" si="80"/>
        <v>0.56354845626072</v>
      </c>
      <c r="AO114" s="54">
        <f t="shared" si="81"/>
        <v>0.549234481002735</v>
      </c>
      <c r="AP114" s="49"/>
      <c r="AQ114" s="49">
        <v>10494</v>
      </c>
      <c r="AR114" s="49">
        <v>2830.43045142</v>
      </c>
      <c r="AS114" s="53">
        <f t="shared" si="82"/>
        <v>0.26971893</v>
      </c>
      <c r="AT114" s="125">
        <f t="shared" si="83"/>
        <v>0</v>
      </c>
      <c r="AU114" s="57">
        <v>50</v>
      </c>
      <c r="AV114" s="118">
        <f>VLOOKUP(B114,[4]门店奖励金额汇总!$A:$D,4,0)</f>
        <v>33</v>
      </c>
    </row>
    <row r="115" spans="1:49">
      <c r="A115" s="23">
        <v>113</v>
      </c>
      <c r="B115" s="24">
        <v>572</v>
      </c>
      <c r="C115" s="24" t="s">
        <v>155</v>
      </c>
      <c r="D115" s="24" t="s">
        <v>139</v>
      </c>
      <c r="E115" s="123">
        <f>VLOOKUP(B115,[3]正式员工人数!$A:$C,3,0)</f>
        <v>2</v>
      </c>
      <c r="F115" s="32">
        <v>7</v>
      </c>
      <c r="G115" s="32">
        <v>100</v>
      </c>
      <c r="H115" s="28">
        <f>VLOOKUP(B115,[1]查询时间段分门店销售汇总!$D$3:$L$145,9,0)</f>
        <v>31966.88</v>
      </c>
      <c r="I115" s="28">
        <f>VLOOKUP(B115,[1]查询时间段分门店销售汇总!$D$3:$M$145,10,0)</f>
        <v>6370.28</v>
      </c>
      <c r="J115" s="32">
        <f t="shared" si="63"/>
        <v>39000</v>
      </c>
      <c r="K115" s="32">
        <f t="shared" si="64"/>
        <v>8417.214</v>
      </c>
      <c r="L115" s="38">
        <v>13000</v>
      </c>
      <c r="M115" s="39">
        <v>2805.738</v>
      </c>
      <c r="N115" s="40">
        <f t="shared" si="65"/>
        <v>0.215826</v>
      </c>
      <c r="O115" s="40">
        <f t="shared" si="66"/>
        <v>0.81966358974359</v>
      </c>
      <c r="P115" s="40">
        <f t="shared" si="67"/>
        <v>0.7568157349926</v>
      </c>
      <c r="Q115" s="43"/>
      <c r="R115" s="43"/>
      <c r="S115" s="43">
        <f t="shared" si="68"/>
        <v>42900</v>
      </c>
      <c r="T115" s="43">
        <f t="shared" si="69"/>
        <v>8333.04186</v>
      </c>
      <c r="U115" s="38">
        <v>14300</v>
      </c>
      <c r="V115" s="39">
        <v>2777.68062</v>
      </c>
      <c r="W115" s="40">
        <f t="shared" si="70"/>
        <v>0.1942434</v>
      </c>
      <c r="X115" s="40">
        <f t="shared" si="71"/>
        <v>0.745148717948718</v>
      </c>
      <c r="Y115" s="40">
        <f t="shared" si="72"/>
        <v>0.764460338376363</v>
      </c>
      <c r="Z115" s="43"/>
      <c r="AA115" s="43"/>
      <c r="AB115" s="47">
        <f>VLOOKUP(B115,[2]查询时间段分门店销售汇总!$D$3:$L$145,9,0)</f>
        <v>32525.31</v>
      </c>
      <c r="AC115" s="47">
        <f>VLOOKUP(B115,[2]查询时间段分门店销售汇总!$D$3:$M$145,10,0)</f>
        <v>7413.09</v>
      </c>
      <c r="AD115" s="48">
        <f t="shared" si="73"/>
        <v>34320</v>
      </c>
      <c r="AE115" s="48">
        <f t="shared" si="74"/>
        <v>8333.04186</v>
      </c>
      <c r="AF115" s="49">
        <v>8580</v>
      </c>
      <c r="AG115" s="49">
        <v>2083.260465</v>
      </c>
      <c r="AH115" s="53">
        <f t="shared" si="75"/>
        <v>0.24280425</v>
      </c>
      <c r="AI115" s="53">
        <f t="shared" si="76"/>
        <v>0.947707167832168</v>
      </c>
      <c r="AJ115" s="53">
        <f t="shared" si="77"/>
        <v>0.889601915428276</v>
      </c>
      <c r="AK115" s="48"/>
      <c r="AL115" s="48">
        <f t="shared" si="78"/>
        <v>42900</v>
      </c>
      <c r="AM115" s="48">
        <f t="shared" si="79"/>
        <v>9582.998139</v>
      </c>
      <c r="AN115" s="54">
        <f t="shared" si="80"/>
        <v>0.758165734265734</v>
      </c>
      <c r="AO115" s="54">
        <f t="shared" si="81"/>
        <v>0.773566882981109</v>
      </c>
      <c r="AP115" s="49"/>
      <c r="AQ115" s="49">
        <v>10725</v>
      </c>
      <c r="AR115" s="49">
        <v>2395.74953475</v>
      </c>
      <c r="AS115" s="53">
        <f t="shared" si="82"/>
        <v>0.22337991</v>
      </c>
      <c r="AT115" s="125">
        <f t="shared" si="83"/>
        <v>0</v>
      </c>
      <c r="AU115" s="57">
        <v>40</v>
      </c>
      <c r="AV115" s="128">
        <f>VLOOKUP(B115,[4]门店奖励金额汇总!$A:$D,4,0)</f>
        <v>40</v>
      </c>
      <c r="AW115" s="76">
        <f>AV115*4</f>
        <v>160</v>
      </c>
    </row>
    <row r="116" spans="1:48">
      <c r="A116" s="23">
        <v>114</v>
      </c>
      <c r="B116" s="24">
        <v>391</v>
      </c>
      <c r="C116" s="24" t="s">
        <v>156</v>
      </c>
      <c r="D116" s="24" t="s">
        <v>139</v>
      </c>
      <c r="E116" s="123">
        <f>VLOOKUP(B116,[3]正式员工人数!$A:$C,3,0)</f>
        <v>3</v>
      </c>
      <c r="F116" s="32">
        <v>8</v>
      </c>
      <c r="G116" s="32">
        <v>100</v>
      </c>
      <c r="H116" s="28">
        <f>VLOOKUP(B116,[1]查询时间段分门店销售汇总!$D$3:$L$145,9,0)</f>
        <v>21432.31</v>
      </c>
      <c r="I116" s="28">
        <f>VLOOKUP(B116,[1]查询时间段分门店销售汇总!$D$3:$M$145,10,0)</f>
        <v>5610.82</v>
      </c>
      <c r="J116" s="32">
        <f t="shared" si="63"/>
        <v>34560</v>
      </c>
      <c r="K116" s="32">
        <f t="shared" si="64"/>
        <v>9655.92576</v>
      </c>
      <c r="L116" s="38">
        <v>11520</v>
      </c>
      <c r="M116" s="39">
        <v>3218.64192</v>
      </c>
      <c r="N116" s="40">
        <f t="shared" si="65"/>
        <v>0.279396</v>
      </c>
      <c r="O116" s="40">
        <f t="shared" si="66"/>
        <v>0.620147858796296</v>
      </c>
      <c r="P116" s="40">
        <f t="shared" si="67"/>
        <v>0.581075304373508</v>
      </c>
      <c r="Q116" s="43"/>
      <c r="R116" s="43"/>
      <c r="S116" s="43">
        <f t="shared" si="68"/>
        <v>38016</v>
      </c>
      <c r="T116" s="43">
        <f t="shared" si="69"/>
        <v>9559.3665024</v>
      </c>
      <c r="U116" s="38">
        <v>12672</v>
      </c>
      <c r="V116" s="39">
        <v>3186.4555008</v>
      </c>
      <c r="W116" s="40">
        <f t="shared" si="70"/>
        <v>0.2514564</v>
      </c>
      <c r="X116" s="40">
        <f t="shared" si="71"/>
        <v>0.563770780723906</v>
      </c>
      <c r="Y116" s="40">
        <f t="shared" si="72"/>
        <v>0.586944751892433</v>
      </c>
      <c r="Z116" s="43"/>
      <c r="AA116" s="43"/>
      <c r="AB116" s="47">
        <f>VLOOKUP(B116,[2]查询时间段分门店销售汇总!$D$3:$L$145,9,0)</f>
        <v>20489.15</v>
      </c>
      <c r="AC116" s="47">
        <f>VLOOKUP(B116,[2]查询时间段分门店销售汇总!$D$3:$M$145,10,0)</f>
        <v>5659.37</v>
      </c>
      <c r="AD116" s="48">
        <f t="shared" si="73"/>
        <v>30412.8</v>
      </c>
      <c r="AE116" s="48">
        <f t="shared" si="74"/>
        <v>9559.3665024</v>
      </c>
      <c r="AF116" s="49">
        <v>7603.2</v>
      </c>
      <c r="AG116" s="49">
        <v>2389.8416256</v>
      </c>
      <c r="AH116" s="53">
        <f t="shared" si="75"/>
        <v>0.3143205</v>
      </c>
      <c r="AI116" s="53">
        <f t="shared" si="76"/>
        <v>0.673701533564815</v>
      </c>
      <c r="AJ116" s="53">
        <f t="shared" si="77"/>
        <v>0.592023540323425</v>
      </c>
      <c r="AK116" s="48"/>
      <c r="AL116" s="48">
        <f t="shared" si="78"/>
        <v>38016</v>
      </c>
      <c r="AM116" s="48">
        <f t="shared" si="79"/>
        <v>10993.27147776</v>
      </c>
      <c r="AN116" s="54">
        <f t="shared" si="80"/>
        <v>0.538961226851852</v>
      </c>
      <c r="AO116" s="54">
        <f t="shared" si="81"/>
        <v>0.514803078542108</v>
      </c>
      <c r="AP116" s="49"/>
      <c r="AQ116" s="49">
        <v>9504</v>
      </c>
      <c r="AR116" s="49">
        <v>2748.31786944</v>
      </c>
      <c r="AS116" s="53">
        <f t="shared" si="82"/>
        <v>0.28917486</v>
      </c>
      <c r="AT116" s="125">
        <f t="shared" si="83"/>
        <v>0</v>
      </c>
      <c r="AU116" s="57">
        <v>40</v>
      </c>
      <c r="AV116" s="118">
        <f>VLOOKUP(B116,[4]门店奖励金额汇总!$A:$D,4,0)</f>
        <v>16</v>
      </c>
    </row>
    <row r="117" spans="1:48">
      <c r="A117" s="23">
        <v>115</v>
      </c>
      <c r="B117" s="24">
        <v>308</v>
      </c>
      <c r="C117" s="24" t="s">
        <v>157</v>
      </c>
      <c r="D117" s="24" t="s">
        <v>139</v>
      </c>
      <c r="E117" s="123">
        <f>VLOOKUP(B117,[3]正式员工人数!$A:$C,3,0)</f>
        <v>3</v>
      </c>
      <c r="F117" s="32">
        <v>8</v>
      </c>
      <c r="G117" s="32">
        <v>100</v>
      </c>
      <c r="H117" s="28">
        <f>VLOOKUP(B117,[1]查询时间段分门店销售汇总!$D$3:$L$145,9,0)</f>
        <v>26949.27</v>
      </c>
      <c r="I117" s="28">
        <f>VLOOKUP(B117,[1]查询时间段分门店销售汇总!$D$3:$M$145,10,0)</f>
        <v>7129.15</v>
      </c>
      <c r="J117" s="32">
        <f t="shared" si="63"/>
        <v>33120</v>
      </c>
      <c r="K117" s="32">
        <f t="shared" si="64"/>
        <v>9452.51424</v>
      </c>
      <c r="L117" s="38">
        <v>11040</v>
      </c>
      <c r="M117" s="39">
        <v>3150.83808</v>
      </c>
      <c r="N117" s="40">
        <f t="shared" si="65"/>
        <v>0.285402</v>
      </c>
      <c r="O117" s="40">
        <f t="shared" si="66"/>
        <v>0.813685688405797</v>
      </c>
      <c r="P117" s="40">
        <f t="shared" si="67"/>
        <v>0.754206745315625</v>
      </c>
      <c r="Q117" s="43"/>
      <c r="R117" s="43"/>
      <c r="S117" s="43">
        <f t="shared" si="68"/>
        <v>36432</v>
      </c>
      <c r="T117" s="43">
        <f t="shared" si="69"/>
        <v>9357.9890976</v>
      </c>
      <c r="U117" s="38">
        <v>12144</v>
      </c>
      <c r="V117" s="39">
        <v>3119.3296992</v>
      </c>
      <c r="W117" s="40">
        <f t="shared" si="70"/>
        <v>0.2568618</v>
      </c>
      <c r="X117" s="40">
        <f t="shared" si="71"/>
        <v>0.739714262187088</v>
      </c>
      <c r="Y117" s="40">
        <f t="shared" si="72"/>
        <v>0.761824995268308</v>
      </c>
      <c r="Z117" s="43"/>
      <c r="AA117" s="43"/>
      <c r="AB117" s="47">
        <f>VLOOKUP(B117,[2]查询时间段分门店销售汇总!$D$3:$L$145,9,0)</f>
        <v>20613.71</v>
      </c>
      <c r="AC117" s="47">
        <f>VLOOKUP(B117,[2]查询时间段分门店销售汇总!$D$3:$M$145,10,0)</f>
        <v>7134.8</v>
      </c>
      <c r="AD117" s="48">
        <f t="shared" si="73"/>
        <v>29145.6</v>
      </c>
      <c r="AE117" s="48">
        <f t="shared" si="74"/>
        <v>9357.9890976</v>
      </c>
      <c r="AF117" s="49">
        <v>7286.4</v>
      </c>
      <c r="AG117" s="49">
        <v>2339.4972744</v>
      </c>
      <c r="AH117" s="53">
        <f t="shared" si="75"/>
        <v>0.32107725</v>
      </c>
      <c r="AI117" s="53">
        <f t="shared" si="76"/>
        <v>0.707266620004392</v>
      </c>
      <c r="AJ117" s="53">
        <f t="shared" si="77"/>
        <v>0.76242875745921</v>
      </c>
      <c r="AK117" s="48"/>
      <c r="AL117" s="48">
        <f t="shared" si="78"/>
        <v>36432</v>
      </c>
      <c r="AM117" s="48">
        <f t="shared" si="79"/>
        <v>10761.68746224</v>
      </c>
      <c r="AN117" s="54">
        <f t="shared" si="80"/>
        <v>0.565813296003513</v>
      </c>
      <c r="AO117" s="54">
        <f t="shared" si="81"/>
        <v>0.6629815282254</v>
      </c>
      <c r="AP117" s="49"/>
      <c r="AQ117" s="49">
        <v>9108</v>
      </c>
      <c r="AR117" s="49">
        <v>2690.42186556</v>
      </c>
      <c r="AS117" s="53">
        <f t="shared" si="82"/>
        <v>0.29539107</v>
      </c>
      <c r="AT117" s="125">
        <f t="shared" si="83"/>
        <v>0</v>
      </c>
      <c r="AU117" s="57">
        <v>40</v>
      </c>
      <c r="AV117" s="118">
        <f>VLOOKUP(B117,[4]门店奖励金额汇总!$A:$D,4,0)</f>
        <v>24</v>
      </c>
    </row>
    <row r="118" spans="1:48">
      <c r="A118" s="23">
        <v>116</v>
      </c>
      <c r="B118" s="24">
        <v>113008</v>
      </c>
      <c r="C118" s="24" t="s">
        <v>158</v>
      </c>
      <c r="D118" s="24" t="s">
        <v>139</v>
      </c>
      <c r="E118" s="123">
        <f>VLOOKUP(B118,[3]正式员工人数!$A:$C,3,0)</f>
        <v>2</v>
      </c>
      <c r="F118" s="32">
        <v>9</v>
      </c>
      <c r="G118" s="32">
        <v>100</v>
      </c>
      <c r="H118" s="28">
        <f>VLOOKUP(B118,[1]查询时间段分门店销售汇总!$D$3:$L$145,9,0)</f>
        <v>32652.75</v>
      </c>
      <c r="I118" s="28">
        <f>VLOOKUP(B118,[1]查询时间段分门店销售汇总!$D$3:$M$145,10,0)</f>
        <v>3887.55</v>
      </c>
      <c r="J118" s="32">
        <f t="shared" si="63"/>
        <v>30240</v>
      </c>
      <c r="K118" s="32">
        <f t="shared" si="64"/>
        <v>5896.8</v>
      </c>
      <c r="L118" s="38">
        <v>10080</v>
      </c>
      <c r="M118" s="39">
        <v>1965.6</v>
      </c>
      <c r="N118" s="40">
        <f t="shared" si="65"/>
        <v>0.195</v>
      </c>
      <c r="O118" s="41">
        <f t="shared" si="66"/>
        <v>1.07978670634921</v>
      </c>
      <c r="P118" s="40">
        <f t="shared" si="67"/>
        <v>0.659264346764347</v>
      </c>
      <c r="Q118" s="43">
        <f>E118*70</f>
        <v>140</v>
      </c>
      <c r="R118" s="43"/>
      <c r="S118" s="43">
        <f t="shared" si="68"/>
        <v>33264</v>
      </c>
      <c r="T118" s="43">
        <f t="shared" si="69"/>
        <v>5837.832</v>
      </c>
      <c r="U118" s="38">
        <v>11088</v>
      </c>
      <c r="V118" s="39">
        <v>1945.944</v>
      </c>
      <c r="W118" s="40">
        <f t="shared" si="70"/>
        <v>0.1755</v>
      </c>
      <c r="X118" s="40">
        <f t="shared" si="71"/>
        <v>0.981624278499278</v>
      </c>
      <c r="Y118" s="40">
        <f t="shared" si="72"/>
        <v>0.665923582590249</v>
      </c>
      <c r="Z118" s="43"/>
      <c r="AA118" s="43"/>
      <c r="AB118" s="47">
        <f>VLOOKUP(B118,[2]查询时间段分门店销售汇总!$D$3:$L$145,9,0)</f>
        <v>22086.51</v>
      </c>
      <c r="AC118" s="47">
        <f>VLOOKUP(B118,[2]查询时间段分门店销售汇总!$D$3:$M$145,10,0)</f>
        <v>3667.83</v>
      </c>
      <c r="AD118" s="48">
        <f t="shared" si="73"/>
        <v>26611.2</v>
      </c>
      <c r="AE118" s="48">
        <f t="shared" si="74"/>
        <v>5837.832</v>
      </c>
      <c r="AF118" s="49">
        <v>6652.8</v>
      </c>
      <c r="AG118" s="49">
        <v>1459.458</v>
      </c>
      <c r="AH118" s="53">
        <f t="shared" si="75"/>
        <v>0.219375</v>
      </c>
      <c r="AI118" s="53">
        <f t="shared" si="76"/>
        <v>0.829970463564213</v>
      </c>
      <c r="AJ118" s="53">
        <f t="shared" si="77"/>
        <v>0.628286322730767</v>
      </c>
      <c r="AK118" s="48"/>
      <c r="AL118" s="48">
        <f t="shared" si="78"/>
        <v>33264</v>
      </c>
      <c r="AM118" s="48">
        <f t="shared" si="79"/>
        <v>6713.5068</v>
      </c>
      <c r="AN118" s="54">
        <f t="shared" si="80"/>
        <v>0.663976370851371</v>
      </c>
      <c r="AO118" s="54">
        <f t="shared" si="81"/>
        <v>0.546335932809363</v>
      </c>
      <c r="AP118" s="49"/>
      <c r="AQ118" s="49">
        <v>8316</v>
      </c>
      <c r="AR118" s="49">
        <v>1678.3767</v>
      </c>
      <c r="AS118" s="53">
        <f t="shared" si="82"/>
        <v>0.201825</v>
      </c>
      <c r="AT118" s="125">
        <f t="shared" si="83"/>
        <v>140</v>
      </c>
      <c r="AU118" s="57">
        <v>40</v>
      </c>
      <c r="AV118" s="118">
        <f>VLOOKUP(B118,[4]门店奖励金额汇总!$A:$D,4,0)</f>
        <v>14</v>
      </c>
    </row>
    <row r="119" spans="1:48">
      <c r="A119" s="23">
        <v>117</v>
      </c>
      <c r="B119" s="24">
        <v>116482</v>
      </c>
      <c r="C119" s="24" t="s">
        <v>159</v>
      </c>
      <c r="D119" s="24" t="s">
        <v>139</v>
      </c>
      <c r="E119" s="123">
        <f>VLOOKUP(B119,[3]正式员工人数!$A:$C,3,0)</f>
        <v>2</v>
      </c>
      <c r="F119" s="32">
        <v>9</v>
      </c>
      <c r="G119" s="32">
        <v>100</v>
      </c>
      <c r="H119" s="28">
        <f>VLOOKUP(B119,[1]查询时间段分门店销售汇总!$D$3:$L$145,9,0)</f>
        <v>29574.12</v>
      </c>
      <c r="I119" s="28">
        <f>VLOOKUP(B119,[1]查询时间段分门店销售汇总!$D$3:$M$145,10,0)</f>
        <v>7272.37</v>
      </c>
      <c r="J119" s="32">
        <f t="shared" si="63"/>
        <v>28800</v>
      </c>
      <c r="K119" s="32">
        <f t="shared" si="64"/>
        <v>6885.216</v>
      </c>
      <c r="L119" s="38">
        <v>9600</v>
      </c>
      <c r="M119" s="39">
        <v>2295.072</v>
      </c>
      <c r="N119" s="40">
        <f t="shared" si="65"/>
        <v>0.23907</v>
      </c>
      <c r="O119" s="41">
        <f t="shared" si="66"/>
        <v>1.02687916666667</v>
      </c>
      <c r="P119" s="41">
        <f t="shared" si="67"/>
        <v>1.0562297537216</v>
      </c>
      <c r="Q119" s="43">
        <f>E119*70</f>
        <v>140</v>
      </c>
      <c r="R119" s="43">
        <f>(I119-K119)*0.2</f>
        <v>77.4307999999999</v>
      </c>
      <c r="S119" s="43">
        <f t="shared" si="68"/>
        <v>31680</v>
      </c>
      <c r="T119" s="43">
        <f t="shared" si="69"/>
        <v>6816.36384</v>
      </c>
      <c r="U119" s="38">
        <v>10560</v>
      </c>
      <c r="V119" s="39">
        <v>2272.12128</v>
      </c>
      <c r="W119" s="40">
        <f t="shared" si="70"/>
        <v>0.215163</v>
      </c>
      <c r="X119" s="40">
        <f t="shared" si="71"/>
        <v>0.933526515151515</v>
      </c>
      <c r="Y119" s="41">
        <f t="shared" si="72"/>
        <v>1.06689874113293</v>
      </c>
      <c r="Z119" s="43"/>
      <c r="AA119" s="43"/>
      <c r="AB119" s="47">
        <f>VLOOKUP(B119,[2]查询时间段分门店销售汇总!$D$3:$L$145,9,0)</f>
        <v>18404.04</v>
      </c>
      <c r="AC119" s="47">
        <f>VLOOKUP(B119,[2]查询时间段分门店销售汇总!$D$3:$M$145,10,0)</f>
        <v>5265.14</v>
      </c>
      <c r="AD119" s="48">
        <f t="shared" si="73"/>
        <v>25344</v>
      </c>
      <c r="AE119" s="48">
        <f t="shared" si="74"/>
        <v>6816.36384</v>
      </c>
      <c r="AF119" s="49">
        <v>6336</v>
      </c>
      <c r="AG119" s="49">
        <v>1704.09096</v>
      </c>
      <c r="AH119" s="53">
        <f t="shared" si="75"/>
        <v>0.26895375</v>
      </c>
      <c r="AI119" s="53">
        <f t="shared" si="76"/>
        <v>0.726169507575758</v>
      </c>
      <c r="AJ119" s="53">
        <f t="shared" si="77"/>
        <v>0.772426490661039</v>
      </c>
      <c r="AK119" s="48"/>
      <c r="AL119" s="48">
        <f t="shared" si="78"/>
        <v>31680</v>
      </c>
      <c r="AM119" s="48">
        <f t="shared" si="79"/>
        <v>7838.818416</v>
      </c>
      <c r="AN119" s="54">
        <f t="shared" si="80"/>
        <v>0.580935606060606</v>
      </c>
      <c r="AO119" s="54">
        <f t="shared" si="81"/>
        <v>0.671675209270468</v>
      </c>
      <c r="AP119" s="49"/>
      <c r="AQ119" s="49">
        <v>7920</v>
      </c>
      <c r="AR119" s="49">
        <v>1959.704604</v>
      </c>
      <c r="AS119" s="53">
        <f t="shared" si="82"/>
        <v>0.24743745</v>
      </c>
      <c r="AT119" s="125">
        <f t="shared" si="83"/>
        <v>217.4308</v>
      </c>
      <c r="AU119" s="57">
        <v>40</v>
      </c>
      <c r="AV119" s="118">
        <f>VLOOKUP(B119,[4]门店奖励金额汇总!$A:$D,4,0)</f>
        <v>20</v>
      </c>
    </row>
    <row r="120" spans="1:49">
      <c r="A120" s="23">
        <v>118</v>
      </c>
      <c r="B120" s="24">
        <v>723</v>
      </c>
      <c r="C120" s="24" t="s">
        <v>160</v>
      </c>
      <c r="D120" s="24" t="s">
        <v>139</v>
      </c>
      <c r="E120" s="123">
        <f>VLOOKUP(B120,[3]正式员工人数!$A:$C,3,0)</f>
        <v>2</v>
      </c>
      <c r="F120" s="32">
        <v>10</v>
      </c>
      <c r="G120" s="32">
        <v>100</v>
      </c>
      <c r="H120" s="28">
        <f>VLOOKUP(B120,[1]查询时间段分门店销售汇总!$D$3:$L$145,9,0)</f>
        <v>30954.26</v>
      </c>
      <c r="I120" s="28">
        <f>VLOOKUP(B120,[1]查询时间段分门店销售汇总!$D$3:$M$145,10,0)</f>
        <v>5346.6</v>
      </c>
      <c r="J120" s="32">
        <f t="shared" si="63"/>
        <v>30420</v>
      </c>
      <c r="K120" s="32">
        <f t="shared" si="64"/>
        <v>7016.25132</v>
      </c>
      <c r="L120" s="38">
        <v>10140</v>
      </c>
      <c r="M120" s="39">
        <v>2338.75044</v>
      </c>
      <c r="N120" s="40">
        <f t="shared" si="65"/>
        <v>0.230646</v>
      </c>
      <c r="O120" s="41">
        <f t="shared" si="66"/>
        <v>1.01756278763971</v>
      </c>
      <c r="P120" s="40">
        <f t="shared" si="67"/>
        <v>0.76203085610109</v>
      </c>
      <c r="Q120" s="43">
        <f>E120*70</f>
        <v>140</v>
      </c>
      <c r="R120" s="43"/>
      <c r="S120" s="43">
        <f t="shared" si="68"/>
        <v>33462</v>
      </c>
      <c r="T120" s="43">
        <f t="shared" si="69"/>
        <v>6946.0888068</v>
      </c>
      <c r="U120" s="38">
        <v>11154</v>
      </c>
      <c r="V120" s="39">
        <v>2315.3629356</v>
      </c>
      <c r="W120" s="40">
        <f t="shared" si="70"/>
        <v>0.2075814</v>
      </c>
      <c r="X120" s="40">
        <f t="shared" si="71"/>
        <v>0.925057079672464</v>
      </c>
      <c r="Y120" s="40">
        <f t="shared" si="72"/>
        <v>0.769728137475848</v>
      </c>
      <c r="Z120" s="43"/>
      <c r="AA120" s="43"/>
      <c r="AB120" s="47">
        <f>VLOOKUP(B120,[2]查询时间段分门店销售汇总!$D$3:$L$145,9,0)</f>
        <v>22173.62</v>
      </c>
      <c r="AC120" s="47">
        <f>VLOOKUP(B120,[2]查询时间段分门店销售汇总!$D$3:$M$145,10,0)</f>
        <v>6104.58</v>
      </c>
      <c r="AD120" s="48">
        <f t="shared" si="73"/>
        <v>26769.6</v>
      </c>
      <c r="AE120" s="48">
        <f t="shared" si="74"/>
        <v>6946.0888068</v>
      </c>
      <c r="AF120" s="49">
        <v>6692.4</v>
      </c>
      <c r="AG120" s="49">
        <v>1736.5222017</v>
      </c>
      <c r="AH120" s="53">
        <f t="shared" si="75"/>
        <v>0.25947675</v>
      </c>
      <c r="AI120" s="53">
        <f t="shared" si="76"/>
        <v>0.828313460044229</v>
      </c>
      <c r="AJ120" s="53">
        <f t="shared" si="77"/>
        <v>0.878851418372856</v>
      </c>
      <c r="AK120" s="48"/>
      <c r="AL120" s="48">
        <f t="shared" si="78"/>
        <v>33462</v>
      </c>
      <c r="AM120" s="48">
        <f t="shared" si="79"/>
        <v>7988.00212782</v>
      </c>
      <c r="AN120" s="54">
        <f t="shared" si="80"/>
        <v>0.662650768035383</v>
      </c>
      <c r="AO120" s="54">
        <f t="shared" si="81"/>
        <v>0.764218624672049</v>
      </c>
      <c r="AP120" s="49"/>
      <c r="AQ120" s="49">
        <v>8365.5</v>
      </c>
      <c r="AR120" s="49">
        <v>1997.000531955</v>
      </c>
      <c r="AS120" s="53">
        <f t="shared" si="82"/>
        <v>0.23871861</v>
      </c>
      <c r="AT120" s="125">
        <f t="shared" si="83"/>
        <v>140</v>
      </c>
      <c r="AU120" s="57">
        <v>40</v>
      </c>
      <c r="AV120" s="128">
        <f>VLOOKUP(B120,[4]门店奖励金额汇总!$A:$D,4,0)</f>
        <v>94</v>
      </c>
      <c r="AW120" s="76">
        <f>AV120*4</f>
        <v>376</v>
      </c>
    </row>
    <row r="121" spans="1:49">
      <c r="A121" s="23">
        <v>119</v>
      </c>
      <c r="B121" s="24">
        <v>113299</v>
      </c>
      <c r="C121" s="24" t="s">
        <v>161</v>
      </c>
      <c r="D121" s="24" t="s">
        <v>139</v>
      </c>
      <c r="E121" s="123">
        <f>VLOOKUP(B121,[3]正式员工人数!$A:$C,3,0)</f>
        <v>2</v>
      </c>
      <c r="F121" s="32">
        <v>10</v>
      </c>
      <c r="G121" s="32">
        <v>100</v>
      </c>
      <c r="H121" s="28">
        <f>VLOOKUP(B121,[1]查询时间段分门店销售汇总!$D$3:$L$145,9,0)</f>
        <v>25146.12</v>
      </c>
      <c r="I121" s="28">
        <f>VLOOKUP(B121,[1]查询时间段分门店销售汇总!$D$3:$M$145,10,0)</f>
        <v>4597.92</v>
      </c>
      <c r="J121" s="32">
        <f t="shared" si="63"/>
        <v>27360</v>
      </c>
      <c r="K121" s="32">
        <f t="shared" si="64"/>
        <v>6039.4464</v>
      </c>
      <c r="L121" s="38">
        <v>9120</v>
      </c>
      <c r="M121" s="39">
        <v>2013.1488</v>
      </c>
      <c r="N121" s="40">
        <f t="shared" si="65"/>
        <v>0.22074</v>
      </c>
      <c r="O121" s="40">
        <f t="shared" si="66"/>
        <v>0.919083333333333</v>
      </c>
      <c r="P121" s="40">
        <f t="shared" si="67"/>
        <v>0.76131481190064</v>
      </c>
      <c r="Q121" s="43"/>
      <c r="R121" s="43"/>
      <c r="S121" s="43">
        <f t="shared" si="68"/>
        <v>30096</v>
      </c>
      <c r="T121" s="43">
        <f t="shared" si="69"/>
        <v>5979.051936</v>
      </c>
      <c r="U121" s="38">
        <v>10032</v>
      </c>
      <c r="V121" s="39">
        <v>1993.017312</v>
      </c>
      <c r="W121" s="40">
        <f t="shared" si="70"/>
        <v>0.198666</v>
      </c>
      <c r="X121" s="40">
        <f t="shared" si="71"/>
        <v>0.835530303030303</v>
      </c>
      <c r="Y121" s="40">
        <f t="shared" si="72"/>
        <v>0.769004860505697</v>
      </c>
      <c r="Z121" s="43"/>
      <c r="AA121" s="43"/>
      <c r="AB121" s="47">
        <f>VLOOKUP(B121,[2]查询时间段分门店销售汇总!$D$3:$L$145,9,0)</f>
        <v>14080.45</v>
      </c>
      <c r="AC121" s="47">
        <f>VLOOKUP(B121,[2]查询时间段分门店销售汇总!$D$3:$M$145,10,0)</f>
        <v>3613.66</v>
      </c>
      <c r="AD121" s="48">
        <f t="shared" si="73"/>
        <v>24076.8</v>
      </c>
      <c r="AE121" s="48">
        <f t="shared" si="74"/>
        <v>5979.051936</v>
      </c>
      <c r="AF121" s="49">
        <v>6019.2</v>
      </c>
      <c r="AG121" s="49">
        <v>1494.762984</v>
      </c>
      <c r="AH121" s="53">
        <f t="shared" si="75"/>
        <v>0.2483325</v>
      </c>
      <c r="AI121" s="53">
        <f t="shared" si="76"/>
        <v>0.584814011828815</v>
      </c>
      <c r="AJ121" s="53">
        <f t="shared" si="77"/>
        <v>0.604386788855617</v>
      </c>
      <c r="AK121" s="48"/>
      <c r="AL121" s="48">
        <f t="shared" si="78"/>
        <v>30096</v>
      </c>
      <c r="AM121" s="48">
        <f t="shared" si="79"/>
        <v>6875.9097264</v>
      </c>
      <c r="AN121" s="54">
        <f t="shared" si="80"/>
        <v>0.467851209463052</v>
      </c>
      <c r="AO121" s="54">
        <f t="shared" si="81"/>
        <v>0.525553729439667</v>
      </c>
      <c r="AP121" s="49"/>
      <c r="AQ121" s="49">
        <v>7524</v>
      </c>
      <c r="AR121" s="49">
        <v>1718.9774316</v>
      </c>
      <c r="AS121" s="53">
        <f t="shared" si="82"/>
        <v>0.2284659</v>
      </c>
      <c r="AT121" s="125">
        <f t="shared" si="83"/>
        <v>0</v>
      </c>
      <c r="AU121" s="57">
        <v>40</v>
      </c>
      <c r="AV121" s="128">
        <f>VLOOKUP(B121,[4]门店奖励金额汇总!$A:$D,4,0)</f>
        <v>71</v>
      </c>
      <c r="AW121" s="76">
        <f>AV121*4</f>
        <v>284</v>
      </c>
    </row>
    <row r="122" spans="1:48">
      <c r="A122" s="23">
        <v>120</v>
      </c>
      <c r="B122" s="24">
        <v>102479</v>
      </c>
      <c r="C122" s="24" t="s">
        <v>162</v>
      </c>
      <c r="D122" s="24" t="s">
        <v>139</v>
      </c>
      <c r="E122" s="123">
        <f>VLOOKUP(B122,[3]正式员工人数!$A:$C,3,0)</f>
        <v>2</v>
      </c>
      <c r="F122" s="32">
        <v>11</v>
      </c>
      <c r="G122" s="32">
        <v>100</v>
      </c>
      <c r="H122" s="28">
        <f>VLOOKUP(B122,[1]查询时间段分门店销售汇总!$D$3:$L$145,9,0)</f>
        <v>25214.74</v>
      </c>
      <c r="I122" s="28">
        <f>VLOOKUP(B122,[1]查询时间段分门店销售汇总!$D$3:$M$145,10,0)</f>
        <v>6755.58</v>
      </c>
      <c r="J122" s="32">
        <f t="shared" si="63"/>
        <v>27360</v>
      </c>
      <c r="K122" s="32">
        <f t="shared" si="64"/>
        <v>7584.52032</v>
      </c>
      <c r="L122" s="38">
        <v>9120</v>
      </c>
      <c r="M122" s="39">
        <v>2528.17344</v>
      </c>
      <c r="N122" s="40">
        <f t="shared" si="65"/>
        <v>0.277212</v>
      </c>
      <c r="O122" s="40">
        <f t="shared" si="66"/>
        <v>0.921591374269006</v>
      </c>
      <c r="P122" s="40">
        <f t="shared" si="67"/>
        <v>0.890706295846538</v>
      </c>
      <c r="Q122" s="43"/>
      <c r="R122" s="43"/>
      <c r="S122" s="43">
        <f t="shared" si="68"/>
        <v>30096</v>
      </c>
      <c r="T122" s="43">
        <f t="shared" si="69"/>
        <v>7508.6751168</v>
      </c>
      <c r="U122" s="38">
        <v>10032</v>
      </c>
      <c r="V122" s="39">
        <v>2502.8917056</v>
      </c>
      <c r="W122" s="40">
        <f t="shared" si="70"/>
        <v>0.2494908</v>
      </c>
      <c r="X122" s="40">
        <f t="shared" si="71"/>
        <v>0.837810340244551</v>
      </c>
      <c r="Y122" s="40">
        <f t="shared" si="72"/>
        <v>0.899703329137917</v>
      </c>
      <c r="Z122" s="43"/>
      <c r="AA122" s="43"/>
      <c r="AB122" s="47">
        <f>VLOOKUP(B122,[2]查询时间段分门店销售汇总!$D$3:$L$145,9,0)</f>
        <v>26801.35</v>
      </c>
      <c r="AC122" s="47">
        <f>VLOOKUP(B122,[2]查询时间段分门店销售汇总!$D$3:$M$145,10,0)</f>
        <v>6452.36</v>
      </c>
      <c r="AD122" s="48">
        <f t="shared" si="73"/>
        <v>24076.8</v>
      </c>
      <c r="AE122" s="48">
        <f t="shared" si="74"/>
        <v>7508.6751168</v>
      </c>
      <c r="AF122" s="49">
        <v>6019.2</v>
      </c>
      <c r="AG122" s="49">
        <v>1877.1687792</v>
      </c>
      <c r="AH122" s="53">
        <f t="shared" si="75"/>
        <v>0.3118635</v>
      </c>
      <c r="AI122" s="53">
        <f t="shared" si="76"/>
        <v>1.11316080209995</v>
      </c>
      <c r="AJ122" s="53">
        <f t="shared" si="77"/>
        <v>0.859320705667956</v>
      </c>
      <c r="AK122" s="48"/>
      <c r="AL122" s="48">
        <f t="shared" si="78"/>
        <v>30096</v>
      </c>
      <c r="AM122" s="48">
        <f t="shared" si="79"/>
        <v>8634.97638432</v>
      </c>
      <c r="AN122" s="54">
        <f t="shared" si="80"/>
        <v>0.890528641679957</v>
      </c>
      <c r="AO122" s="54">
        <f t="shared" si="81"/>
        <v>0.747235396233005</v>
      </c>
      <c r="AP122" s="49"/>
      <c r="AQ122" s="49">
        <v>7524</v>
      </c>
      <c r="AR122" s="49">
        <v>2158.74409608</v>
      </c>
      <c r="AS122" s="53">
        <f t="shared" si="82"/>
        <v>0.28691442</v>
      </c>
      <c r="AT122" s="125">
        <f t="shared" si="83"/>
        <v>0</v>
      </c>
      <c r="AU122" s="57">
        <v>40</v>
      </c>
      <c r="AV122" s="118">
        <f>VLOOKUP(B122,[4]门店奖励金额汇总!$A:$D,4,0)</f>
        <v>16</v>
      </c>
    </row>
    <row r="123" spans="1:48">
      <c r="A123" s="23">
        <v>121</v>
      </c>
      <c r="B123" s="24">
        <v>119262</v>
      </c>
      <c r="C123" s="24" t="s">
        <v>163</v>
      </c>
      <c r="D123" s="24" t="s">
        <v>139</v>
      </c>
      <c r="E123" s="123">
        <f>VLOOKUP(B123,[3]正式员工人数!$A:$C,3,0)</f>
        <v>1</v>
      </c>
      <c r="F123" s="32">
        <v>11</v>
      </c>
      <c r="G123" s="32">
        <v>100</v>
      </c>
      <c r="H123" s="28">
        <f>VLOOKUP(B123,[1]查询时间段分门店销售汇总!$D$3:$L$145,9,0)</f>
        <v>21441.86</v>
      </c>
      <c r="I123" s="28">
        <f>VLOOKUP(B123,[1]查询时间段分门店销售汇总!$D$3:$M$145,10,0)</f>
        <v>5344.87</v>
      </c>
      <c r="J123" s="32">
        <f t="shared" si="63"/>
        <v>20160</v>
      </c>
      <c r="K123" s="32">
        <f t="shared" si="64"/>
        <v>4088.448</v>
      </c>
      <c r="L123" s="38">
        <v>6720</v>
      </c>
      <c r="M123" s="39">
        <v>1362.816</v>
      </c>
      <c r="N123" s="40">
        <f t="shared" si="65"/>
        <v>0.2028</v>
      </c>
      <c r="O123" s="41">
        <f t="shared" si="66"/>
        <v>1.06358432539683</v>
      </c>
      <c r="P123" s="41">
        <f t="shared" si="67"/>
        <v>1.30731025562756</v>
      </c>
      <c r="Q123" s="43">
        <f>E123*70</f>
        <v>70</v>
      </c>
      <c r="R123" s="43">
        <f>(I123-K123)*0.2</f>
        <v>251.2844</v>
      </c>
      <c r="S123" s="43">
        <f t="shared" si="68"/>
        <v>22176</v>
      </c>
      <c r="T123" s="43">
        <f t="shared" si="69"/>
        <v>4047.56352</v>
      </c>
      <c r="U123" s="38">
        <v>7392</v>
      </c>
      <c r="V123" s="39">
        <v>1349.18784</v>
      </c>
      <c r="W123" s="40">
        <f t="shared" si="70"/>
        <v>0.18252</v>
      </c>
      <c r="X123" s="40">
        <f t="shared" si="71"/>
        <v>0.966894841269841</v>
      </c>
      <c r="Y123" s="41">
        <f t="shared" si="72"/>
        <v>1.32051540972481</v>
      </c>
      <c r="Z123" s="43"/>
      <c r="AA123" s="43"/>
      <c r="AB123" s="47">
        <f>VLOOKUP(B123,[2]查询时间段分门店销售汇总!$D$3:$L$145,9,0)</f>
        <v>10043.32</v>
      </c>
      <c r="AC123" s="47">
        <f>VLOOKUP(B123,[2]查询时间段分门店销售汇总!$D$3:$M$145,10,0)</f>
        <v>2699.64</v>
      </c>
      <c r="AD123" s="48">
        <f t="shared" si="73"/>
        <v>17740.8</v>
      </c>
      <c r="AE123" s="48">
        <f t="shared" si="74"/>
        <v>4047.56352</v>
      </c>
      <c r="AF123" s="49">
        <v>4435.2</v>
      </c>
      <c r="AG123" s="49">
        <v>1011.89088</v>
      </c>
      <c r="AH123" s="53">
        <f t="shared" si="75"/>
        <v>0.22815</v>
      </c>
      <c r="AI123" s="53">
        <f t="shared" si="76"/>
        <v>0.566114267676768</v>
      </c>
      <c r="AJ123" s="53">
        <f t="shared" si="77"/>
        <v>0.666979032363648</v>
      </c>
      <c r="AK123" s="48"/>
      <c r="AL123" s="48">
        <f t="shared" si="78"/>
        <v>22176</v>
      </c>
      <c r="AM123" s="48">
        <f t="shared" si="79"/>
        <v>4654.698048</v>
      </c>
      <c r="AN123" s="54">
        <f t="shared" si="80"/>
        <v>0.452891414141414</v>
      </c>
      <c r="AO123" s="54">
        <f t="shared" si="81"/>
        <v>0.579981767272737</v>
      </c>
      <c r="AP123" s="49"/>
      <c r="AQ123" s="49">
        <v>5544</v>
      </c>
      <c r="AR123" s="49">
        <v>1163.674512</v>
      </c>
      <c r="AS123" s="53">
        <f t="shared" si="82"/>
        <v>0.209898</v>
      </c>
      <c r="AT123" s="125">
        <f t="shared" si="83"/>
        <v>321.2844</v>
      </c>
      <c r="AU123" s="57">
        <v>35</v>
      </c>
      <c r="AV123" s="118">
        <f>VLOOKUP(B123,[4]门店奖励金额汇总!$A:$D,4,0)</f>
        <v>10</v>
      </c>
    </row>
    <row r="124" spans="1:49">
      <c r="A124" s="23">
        <v>122</v>
      </c>
      <c r="B124" s="24">
        <v>128640</v>
      </c>
      <c r="C124" s="24" t="s">
        <v>164</v>
      </c>
      <c r="D124" s="24" t="s">
        <v>139</v>
      </c>
      <c r="E124" s="123">
        <f>VLOOKUP(B124,[3]正式员工人数!$A:$C,3,0)</f>
        <v>1</v>
      </c>
      <c r="F124" s="32">
        <v>12</v>
      </c>
      <c r="G124" s="32">
        <v>50</v>
      </c>
      <c r="H124" s="28">
        <f>VLOOKUP(B124,[1]查询时间段分门店销售汇总!$D$3:$L$145,9,0)</f>
        <v>7892.66</v>
      </c>
      <c r="I124" s="28">
        <f>VLOOKUP(B124,[1]查询时间段分门店销售汇总!$D$3:$M$145,10,0)</f>
        <v>1366.82</v>
      </c>
      <c r="J124" s="32">
        <f t="shared" si="63"/>
        <v>14400</v>
      </c>
      <c r="K124" s="32">
        <f t="shared" si="64"/>
        <v>2808</v>
      </c>
      <c r="L124" s="38">
        <v>4800</v>
      </c>
      <c r="M124" s="39">
        <v>936</v>
      </c>
      <c r="N124" s="40">
        <f t="shared" si="65"/>
        <v>0.195</v>
      </c>
      <c r="O124" s="40">
        <f t="shared" si="66"/>
        <v>0.548101388888889</v>
      </c>
      <c r="P124" s="40">
        <f t="shared" si="67"/>
        <v>0.486759259259259</v>
      </c>
      <c r="Q124" s="43"/>
      <c r="R124" s="43"/>
      <c r="S124" s="43">
        <f t="shared" si="68"/>
        <v>15840</v>
      </c>
      <c r="T124" s="43">
        <f t="shared" si="69"/>
        <v>2779.92</v>
      </c>
      <c r="U124" s="38">
        <v>5280</v>
      </c>
      <c r="V124" s="39">
        <v>926.64</v>
      </c>
      <c r="W124" s="40">
        <f t="shared" si="70"/>
        <v>0.1755</v>
      </c>
      <c r="X124" s="40">
        <f t="shared" si="71"/>
        <v>0.49827398989899</v>
      </c>
      <c r="Y124" s="40">
        <f t="shared" si="72"/>
        <v>0.491676019453797</v>
      </c>
      <c r="Z124" s="43"/>
      <c r="AA124" s="43"/>
      <c r="AB124" s="47">
        <f>VLOOKUP(B124,[2]查询时间段分门店销售汇总!$D$3:$L$145,9,0)</f>
        <v>5569.88</v>
      </c>
      <c r="AC124" s="47">
        <f>VLOOKUP(B124,[2]查询时间段分门店销售汇总!$D$3:$M$145,10,0)</f>
        <v>922.15</v>
      </c>
      <c r="AD124" s="48">
        <f t="shared" si="73"/>
        <v>12672</v>
      </c>
      <c r="AE124" s="48">
        <f t="shared" si="74"/>
        <v>2779.92</v>
      </c>
      <c r="AF124" s="49">
        <v>3168</v>
      </c>
      <c r="AG124" s="49">
        <v>694.98</v>
      </c>
      <c r="AH124" s="53">
        <f t="shared" si="75"/>
        <v>0.219375</v>
      </c>
      <c r="AI124" s="53">
        <f t="shared" si="76"/>
        <v>0.439542297979798</v>
      </c>
      <c r="AJ124" s="53">
        <f t="shared" si="77"/>
        <v>0.331718178940401</v>
      </c>
      <c r="AK124" s="48"/>
      <c r="AL124" s="48">
        <f t="shared" si="78"/>
        <v>15840</v>
      </c>
      <c r="AM124" s="48">
        <f t="shared" si="79"/>
        <v>3196.908</v>
      </c>
      <c r="AN124" s="54">
        <f t="shared" si="80"/>
        <v>0.351633838383838</v>
      </c>
      <c r="AO124" s="54">
        <f t="shared" si="81"/>
        <v>0.288450590382958</v>
      </c>
      <c r="AP124" s="49"/>
      <c r="AQ124" s="49">
        <v>3960</v>
      </c>
      <c r="AR124" s="49">
        <v>799.227</v>
      </c>
      <c r="AS124" s="53">
        <f t="shared" si="82"/>
        <v>0.201825</v>
      </c>
      <c r="AT124" s="125">
        <f t="shared" si="83"/>
        <v>0</v>
      </c>
      <c r="AU124" s="57">
        <v>30</v>
      </c>
      <c r="AV124" s="128">
        <f>VLOOKUP(B124,[4]门店奖励金额汇总!$A:$D,4,0)</f>
        <v>30</v>
      </c>
      <c r="AW124" s="76">
        <f>AV124*4</f>
        <v>120</v>
      </c>
    </row>
    <row r="125" spans="1:48">
      <c r="A125" s="23">
        <v>123</v>
      </c>
      <c r="B125" s="24">
        <v>341</v>
      </c>
      <c r="C125" s="24" t="s">
        <v>165</v>
      </c>
      <c r="D125" s="24" t="s">
        <v>166</v>
      </c>
      <c r="E125" s="123">
        <f>VLOOKUP(B125,[3]正式员工人数!$A:$C,3,0)</f>
        <v>4</v>
      </c>
      <c r="F125" s="27">
        <v>1</v>
      </c>
      <c r="G125" s="27">
        <v>150</v>
      </c>
      <c r="H125" s="28">
        <f>VLOOKUP(B125,[1]查询时间段分门店销售汇总!$D$3:$L$145,9,0)</f>
        <v>64579.15</v>
      </c>
      <c r="I125" s="28">
        <f>VLOOKUP(B125,[1]查询时间段分门店销售汇总!$D$3:$M$145,10,0)</f>
        <v>15511.77</v>
      </c>
      <c r="J125" s="32">
        <f t="shared" si="63"/>
        <v>82500</v>
      </c>
      <c r="K125" s="32">
        <f t="shared" si="64"/>
        <v>20173.725</v>
      </c>
      <c r="L125" s="38">
        <v>27500</v>
      </c>
      <c r="M125" s="39">
        <v>6724.575</v>
      </c>
      <c r="N125" s="40">
        <f t="shared" si="65"/>
        <v>0.24453</v>
      </c>
      <c r="O125" s="40">
        <f t="shared" si="66"/>
        <v>0.782777575757576</v>
      </c>
      <c r="P125" s="40">
        <f t="shared" si="67"/>
        <v>0.768909559340181</v>
      </c>
      <c r="Q125" s="43"/>
      <c r="R125" s="43"/>
      <c r="S125" s="43">
        <f t="shared" si="68"/>
        <v>90750</v>
      </c>
      <c r="T125" s="43">
        <f t="shared" si="69"/>
        <v>19971.98775</v>
      </c>
      <c r="U125" s="38">
        <v>30250</v>
      </c>
      <c r="V125" s="39">
        <v>6657.32925</v>
      </c>
      <c r="W125" s="40">
        <f t="shared" si="70"/>
        <v>0.220077</v>
      </c>
      <c r="X125" s="40">
        <f t="shared" si="71"/>
        <v>0.711615977961432</v>
      </c>
      <c r="Y125" s="40">
        <f t="shared" si="72"/>
        <v>0.77667632256584</v>
      </c>
      <c r="Z125" s="43"/>
      <c r="AA125" s="43"/>
      <c r="AB125" s="47">
        <f>VLOOKUP(B125,[2]查询时间段分门店销售汇总!$D$3:$L$145,9,0)</f>
        <v>64568.92</v>
      </c>
      <c r="AC125" s="47">
        <f>VLOOKUP(B125,[2]查询时间段分门店销售汇总!$D$3:$M$145,10,0)</f>
        <v>16255.79</v>
      </c>
      <c r="AD125" s="48">
        <f t="shared" si="73"/>
        <v>72600</v>
      </c>
      <c r="AE125" s="48">
        <f t="shared" si="74"/>
        <v>19971.98775</v>
      </c>
      <c r="AF125" s="49">
        <v>18150</v>
      </c>
      <c r="AG125" s="49">
        <v>4992.9969375</v>
      </c>
      <c r="AH125" s="53">
        <f t="shared" si="75"/>
        <v>0.27509625</v>
      </c>
      <c r="AI125" s="53">
        <f t="shared" si="76"/>
        <v>0.889379063360882</v>
      </c>
      <c r="AJ125" s="53">
        <f t="shared" si="77"/>
        <v>0.813929499831583</v>
      </c>
      <c r="AK125" s="48"/>
      <c r="AL125" s="48">
        <f t="shared" si="78"/>
        <v>90750</v>
      </c>
      <c r="AM125" s="48">
        <f t="shared" si="79"/>
        <v>22967.7859125</v>
      </c>
      <c r="AN125" s="54">
        <f t="shared" si="80"/>
        <v>0.711503250688705</v>
      </c>
      <c r="AO125" s="54">
        <f t="shared" si="81"/>
        <v>0.707764782462246</v>
      </c>
      <c r="AP125" s="49"/>
      <c r="AQ125" s="49">
        <v>22687.5</v>
      </c>
      <c r="AR125" s="49">
        <v>5741.946478125</v>
      </c>
      <c r="AS125" s="53">
        <f t="shared" si="82"/>
        <v>0.25308855</v>
      </c>
      <c r="AT125" s="125">
        <f t="shared" si="83"/>
        <v>0</v>
      </c>
      <c r="AU125" s="57">
        <v>60</v>
      </c>
      <c r="AV125" s="118">
        <f>VLOOKUP(B125,[4]门店奖励金额汇总!$A:$D,4,0)</f>
        <v>34</v>
      </c>
    </row>
    <row r="126" spans="1:48">
      <c r="A126" s="23">
        <v>124</v>
      </c>
      <c r="B126" s="24">
        <v>111400</v>
      </c>
      <c r="C126" s="24" t="s">
        <v>167</v>
      </c>
      <c r="D126" s="24" t="s">
        <v>166</v>
      </c>
      <c r="E126" s="123">
        <f>VLOOKUP(B126,[3]正式员工人数!$A:$C,3,0)</f>
        <v>3</v>
      </c>
      <c r="F126" s="27">
        <v>1</v>
      </c>
      <c r="G126" s="27">
        <v>150</v>
      </c>
      <c r="H126" s="28">
        <f>VLOOKUP(B126,[1]查询时间段分门店销售汇总!$D$3:$L$145,9,0)</f>
        <v>45972.32</v>
      </c>
      <c r="I126" s="28">
        <f>VLOOKUP(B126,[1]查询时间段分门店销售汇总!$D$3:$M$145,10,0)</f>
        <v>8239.72</v>
      </c>
      <c r="J126" s="32">
        <f t="shared" si="63"/>
        <v>55500</v>
      </c>
      <c r="K126" s="32">
        <f t="shared" si="64"/>
        <v>9160.164</v>
      </c>
      <c r="L126" s="38">
        <v>18500</v>
      </c>
      <c r="M126" s="39">
        <v>3053.388</v>
      </c>
      <c r="N126" s="40">
        <f t="shared" si="65"/>
        <v>0.165048</v>
      </c>
      <c r="O126" s="40">
        <f t="shared" si="66"/>
        <v>0.82833009009009</v>
      </c>
      <c r="P126" s="40">
        <f t="shared" si="67"/>
        <v>0.899516646208518</v>
      </c>
      <c r="Q126" s="43"/>
      <c r="R126" s="43"/>
      <c r="S126" s="43">
        <f t="shared" si="68"/>
        <v>61050</v>
      </c>
      <c r="T126" s="43">
        <f t="shared" si="69"/>
        <v>9068.56236</v>
      </c>
      <c r="U126" s="38">
        <v>20350</v>
      </c>
      <c r="V126" s="39">
        <v>3022.85412</v>
      </c>
      <c r="W126" s="40">
        <f t="shared" si="70"/>
        <v>0.1485432</v>
      </c>
      <c r="X126" s="40">
        <f t="shared" si="71"/>
        <v>0.753027354627355</v>
      </c>
      <c r="Y126" s="40">
        <f t="shared" si="72"/>
        <v>0.908602672937897</v>
      </c>
      <c r="Z126" s="43"/>
      <c r="AA126" s="43"/>
      <c r="AB126" s="47">
        <f>VLOOKUP(B126,[2]查询时间段分门店销售汇总!$D$3:$L$145,9,0)</f>
        <v>33941.24</v>
      </c>
      <c r="AC126" s="47">
        <f>VLOOKUP(B126,[2]查询时间段分门店销售汇总!$D$3:$M$145,10,0)</f>
        <v>7597.48</v>
      </c>
      <c r="AD126" s="48">
        <f t="shared" si="73"/>
        <v>48840</v>
      </c>
      <c r="AE126" s="48">
        <f t="shared" si="74"/>
        <v>9068.56236</v>
      </c>
      <c r="AF126" s="49">
        <v>12210</v>
      </c>
      <c r="AG126" s="49">
        <v>2267.14059</v>
      </c>
      <c r="AH126" s="53">
        <f t="shared" si="75"/>
        <v>0.185679</v>
      </c>
      <c r="AI126" s="53">
        <f t="shared" si="76"/>
        <v>0.694947583947584</v>
      </c>
      <c r="AJ126" s="53">
        <f t="shared" si="77"/>
        <v>0.837782186238393</v>
      </c>
      <c r="AK126" s="48"/>
      <c r="AL126" s="48">
        <f t="shared" si="78"/>
        <v>61050</v>
      </c>
      <c r="AM126" s="48">
        <f t="shared" si="79"/>
        <v>10428.846714</v>
      </c>
      <c r="AN126" s="54">
        <f t="shared" si="80"/>
        <v>0.555958067158067</v>
      </c>
      <c r="AO126" s="54">
        <f t="shared" si="81"/>
        <v>0.72850624890295</v>
      </c>
      <c r="AP126" s="49"/>
      <c r="AQ126" s="49">
        <v>15262.5</v>
      </c>
      <c r="AR126" s="49">
        <v>2607.2116785</v>
      </c>
      <c r="AS126" s="53">
        <f t="shared" si="82"/>
        <v>0.17082468</v>
      </c>
      <c r="AT126" s="125">
        <f t="shared" si="83"/>
        <v>0</v>
      </c>
      <c r="AU126" s="57">
        <v>60</v>
      </c>
      <c r="AV126" s="118">
        <f>VLOOKUP(B126,[4]门店奖励金额汇总!$A:$D,4,0)</f>
        <v>13</v>
      </c>
    </row>
    <row r="127" spans="1:49">
      <c r="A127" s="23">
        <v>125</v>
      </c>
      <c r="B127" s="24">
        <v>746</v>
      </c>
      <c r="C127" s="24" t="s">
        <v>168</v>
      </c>
      <c r="D127" s="24" t="s">
        <v>166</v>
      </c>
      <c r="E127" s="123">
        <f>VLOOKUP(B127,[3]正式员工人数!$A:$C,3,0)</f>
        <v>2</v>
      </c>
      <c r="F127" s="27">
        <v>2</v>
      </c>
      <c r="G127" s="27">
        <v>100</v>
      </c>
      <c r="H127" s="28">
        <f>VLOOKUP(B127,[1]查询时间段分门店销售汇总!$D$3:$L$145,9,0)</f>
        <v>34194.59</v>
      </c>
      <c r="I127" s="28">
        <f>VLOOKUP(B127,[1]查询时间段分门店销售汇总!$D$3:$M$145,10,0)</f>
        <v>5991.77</v>
      </c>
      <c r="J127" s="32">
        <f t="shared" si="63"/>
        <v>48000</v>
      </c>
      <c r="K127" s="32">
        <f t="shared" si="64"/>
        <v>11801.088</v>
      </c>
      <c r="L127" s="38">
        <v>16000</v>
      </c>
      <c r="M127" s="39">
        <v>3933.696</v>
      </c>
      <c r="N127" s="40">
        <f t="shared" si="65"/>
        <v>0.245856</v>
      </c>
      <c r="O127" s="40">
        <f t="shared" si="66"/>
        <v>0.712387291666667</v>
      </c>
      <c r="P127" s="40">
        <f t="shared" si="67"/>
        <v>0.507730304188902</v>
      </c>
      <c r="Q127" s="43"/>
      <c r="R127" s="43"/>
      <c r="S127" s="43">
        <f t="shared" si="68"/>
        <v>52800</v>
      </c>
      <c r="T127" s="43">
        <f t="shared" si="69"/>
        <v>11683.07712</v>
      </c>
      <c r="U127" s="38">
        <v>17600</v>
      </c>
      <c r="V127" s="39">
        <v>3894.35904</v>
      </c>
      <c r="W127" s="40">
        <f t="shared" si="70"/>
        <v>0.2212704</v>
      </c>
      <c r="X127" s="40">
        <f t="shared" si="71"/>
        <v>0.647624810606061</v>
      </c>
      <c r="Y127" s="40">
        <f t="shared" si="72"/>
        <v>0.512858893120103</v>
      </c>
      <c r="Z127" s="43"/>
      <c r="AA127" s="43"/>
      <c r="AB127" s="47">
        <f>VLOOKUP(B127,[2]查询时间段分门店销售汇总!$D$3:$L$145,9,0)</f>
        <v>41579.08</v>
      </c>
      <c r="AC127" s="47">
        <f>VLOOKUP(B127,[2]查询时间段分门店销售汇总!$D$3:$M$145,10,0)</f>
        <v>8320.45</v>
      </c>
      <c r="AD127" s="48">
        <f t="shared" si="73"/>
        <v>42240</v>
      </c>
      <c r="AE127" s="48">
        <f t="shared" si="74"/>
        <v>11683.07712</v>
      </c>
      <c r="AF127" s="49">
        <v>10560</v>
      </c>
      <c r="AG127" s="49">
        <v>2920.76928</v>
      </c>
      <c r="AH127" s="53">
        <f t="shared" si="75"/>
        <v>0.276588</v>
      </c>
      <c r="AI127" s="53">
        <f t="shared" si="76"/>
        <v>0.98435321969697</v>
      </c>
      <c r="AJ127" s="53">
        <f t="shared" si="77"/>
        <v>0.712179669323282</v>
      </c>
      <c r="AK127" s="48"/>
      <c r="AL127" s="48">
        <f t="shared" si="78"/>
        <v>52800</v>
      </c>
      <c r="AM127" s="48">
        <f t="shared" si="79"/>
        <v>13435.538688</v>
      </c>
      <c r="AN127" s="54">
        <f t="shared" si="80"/>
        <v>0.787482575757576</v>
      </c>
      <c r="AO127" s="54">
        <f t="shared" si="81"/>
        <v>0.619286668976767</v>
      </c>
      <c r="AP127" s="49"/>
      <c r="AQ127" s="49">
        <v>13200</v>
      </c>
      <c r="AR127" s="49">
        <v>3358.884672</v>
      </c>
      <c r="AS127" s="53">
        <f t="shared" si="82"/>
        <v>0.25446096</v>
      </c>
      <c r="AT127" s="125">
        <f t="shared" si="83"/>
        <v>0</v>
      </c>
      <c r="AU127" s="57">
        <v>50</v>
      </c>
      <c r="AV127" s="128">
        <f>VLOOKUP(B127,[4]门店奖励金额汇总!$A:$D,4,0)</f>
        <v>233</v>
      </c>
      <c r="AW127" s="76">
        <f t="shared" ref="AW127:AW133" si="84">AV127*4</f>
        <v>932</v>
      </c>
    </row>
    <row r="128" spans="1:49">
      <c r="A128" s="23">
        <v>126</v>
      </c>
      <c r="B128" s="24">
        <v>721</v>
      </c>
      <c r="C128" s="24" t="s">
        <v>169</v>
      </c>
      <c r="D128" s="24" t="s">
        <v>166</v>
      </c>
      <c r="E128" s="123">
        <f>VLOOKUP(B128,[3]正式员工人数!$A:$C,3,0)</f>
        <v>3</v>
      </c>
      <c r="F128" s="27">
        <v>2</v>
      </c>
      <c r="G128" s="27">
        <v>100</v>
      </c>
      <c r="H128" s="28">
        <f>VLOOKUP(B128,[1]查询时间段分门店销售汇总!$D$3:$L$145,9,0)</f>
        <v>40714.49</v>
      </c>
      <c r="I128" s="28">
        <f>VLOOKUP(B128,[1]查询时间段分门店销售汇总!$D$3:$M$145,10,0)</f>
        <v>10329.95</v>
      </c>
      <c r="J128" s="32">
        <f t="shared" si="63"/>
        <v>40500</v>
      </c>
      <c r="K128" s="32">
        <f t="shared" si="64"/>
        <v>10273.068</v>
      </c>
      <c r="L128" s="38">
        <v>13500</v>
      </c>
      <c r="M128" s="39">
        <v>3424.356</v>
      </c>
      <c r="N128" s="40">
        <f t="shared" si="65"/>
        <v>0.253656</v>
      </c>
      <c r="O128" s="41">
        <f t="shared" si="66"/>
        <v>1.00529604938272</v>
      </c>
      <c r="P128" s="41">
        <f t="shared" si="67"/>
        <v>1.00553700218864</v>
      </c>
      <c r="Q128" s="43">
        <f>E128*70</f>
        <v>210</v>
      </c>
      <c r="R128" s="43">
        <f>(I128-K128)*0.2</f>
        <v>11.3764000000003</v>
      </c>
      <c r="S128" s="43">
        <f t="shared" si="68"/>
        <v>44550</v>
      </c>
      <c r="T128" s="43">
        <f t="shared" si="69"/>
        <v>10170.33732</v>
      </c>
      <c r="U128" s="38">
        <v>14850</v>
      </c>
      <c r="V128" s="39">
        <v>3390.11244</v>
      </c>
      <c r="W128" s="40">
        <f t="shared" si="70"/>
        <v>0.2282904</v>
      </c>
      <c r="X128" s="40">
        <f t="shared" si="71"/>
        <v>0.913905499438833</v>
      </c>
      <c r="Y128" s="41">
        <f t="shared" si="72"/>
        <v>1.01569394160468</v>
      </c>
      <c r="Z128" s="43"/>
      <c r="AA128" s="43"/>
      <c r="AB128" s="47">
        <f>VLOOKUP(B128,[2]查询时间段分门店销售汇总!$D$3:$L$145,9,0)</f>
        <v>39937.18</v>
      </c>
      <c r="AC128" s="47">
        <f>VLOOKUP(B128,[2]查询时间段分门店销售汇总!$D$3:$M$145,10,0)</f>
        <v>10947.81</v>
      </c>
      <c r="AD128" s="48">
        <f t="shared" si="73"/>
        <v>35640</v>
      </c>
      <c r="AE128" s="48">
        <f t="shared" si="74"/>
        <v>10170.33732</v>
      </c>
      <c r="AF128" s="49">
        <v>8910</v>
      </c>
      <c r="AG128" s="49">
        <v>2542.58433</v>
      </c>
      <c r="AH128" s="53">
        <f t="shared" si="75"/>
        <v>0.285363</v>
      </c>
      <c r="AI128" s="41">
        <f t="shared" si="76"/>
        <v>1.12057182940516</v>
      </c>
      <c r="AJ128" s="41">
        <f t="shared" si="77"/>
        <v>1.07644512227447</v>
      </c>
      <c r="AK128" s="48">
        <v>300</v>
      </c>
      <c r="AL128" s="48">
        <f t="shared" si="78"/>
        <v>44550</v>
      </c>
      <c r="AM128" s="48">
        <f t="shared" si="79"/>
        <v>11695.887918</v>
      </c>
      <c r="AN128" s="54">
        <f t="shared" si="80"/>
        <v>0.89645746352413</v>
      </c>
      <c r="AO128" s="54">
        <f t="shared" si="81"/>
        <v>0.936039236760408</v>
      </c>
      <c r="AP128" s="49"/>
      <c r="AQ128" s="49">
        <v>11137.5</v>
      </c>
      <c r="AR128" s="49">
        <v>2923.9719795</v>
      </c>
      <c r="AS128" s="53">
        <f t="shared" si="82"/>
        <v>0.26253396</v>
      </c>
      <c r="AT128" s="125">
        <f t="shared" si="83"/>
        <v>521.3764</v>
      </c>
      <c r="AU128" s="57">
        <v>50</v>
      </c>
      <c r="AV128" s="128">
        <f>VLOOKUP(B128,[4]门店奖励金额汇总!$A:$D,4,0)</f>
        <v>50</v>
      </c>
      <c r="AW128" s="76">
        <f t="shared" si="84"/>
        <v>200</v>
      </c>
    </row>
    <row r="129" spans="1:49">
      <c r="A129" s="23">
        <v>127</v>
      </c>
      <c r="B129" s="24">
        <v>717</v>
      </c>
      <c r="C129" s="24" t="s">
        <v>170</v>
      </c>
      <c r="D129" s="24" t="s">
        <v>166</v>
      </c>
      <c r="E129" s="123">
        <f>VLOOKUP(B129,[3]正式员工人数!$A:$C,3,0)</f>
        <v>2</v>
      </c>
      <c r="F129" s="27">
        <v>3</v>
      </c>
      <c r="G129" s="27">
        <v>100</v>
      </c>
      <c r="H129" s="28">
        <f>VLOOKUP(B129,[1]查询时间段分门店销售汇总!$D$3:$L$145,9,0)</f>
        <v>30958.52</v>
      </c>
      <c r="I129" s="28">
        <f>VLOOKUP(B129,[1]查询时间段分门店销售汇总!$D$3:$M$145,10,0)</f>
        <v>5908.63</v>
      </c>
      <c r="J129" s="32">
        <f t="shared" si="63"/>
        <v>39750</v>
      </c>
      <c r="K129" s="32">
        <f t="shared" si="64"/>
        <v>10268.856</v>
      </c>
      <c r="L129" s="38">
        <v>13250</v>
      </c>
      <c r="M129" s="39">
        <v>3422.952</v>
      </c>
      <c r="N129" s="40">
        <f t="shared" si="65"/>
        <v>0.258336</v>
      </c>
      <c r="O129" s="40">
        <f t="shared" si="66"/>
        <v>0.778830691823899</v>
      </c>
      <c r="P129" s="40">
        <f t="shared" si="67"/>
        <v>0.575393208357387</v>
      </c>
      <c r="Q129" s="43"/>
      <c r="R129" s="43"/>
      <c r="S129" s="43">
        <f t="shared" si="68"/>
        <v>43725</v>
      </c>
      <c r="T129" s="43">
        <f t="shared" si="69"/>
        <v>10166.16744</v>
      </c>
      <c r="U129" s="38">
        <v>14575</v>
      </c>
      <c r="V129" s="39">
        <v>3388.72248</v>
      </c>
      <c r="W129" s="40">
        <f t="shared" si="70"/>
        <v>0.2325024</v>
      </c>
      <c r="X129" s="40">
        <f t="shared" si="71"/>
        <v>0.70802790165809</v>
      </c>
      <c r="Y129" s="40">
        <f t="shared" si="72"/>
        <v>0.581205260967057</v>
      </c>
      <c r="Z129" s="43"/>
      <c r="AA129" s="43"/>
      <c r="AB129" s="47">
        <f>VLOOKUP(B129,[2]查询时间段分门店销售汇总!$D$3:$L$145,9,0)</f>
        <v>37352.85</v>
      </c>
      <c r="AC129" s="47">
        <f>VLOOKUP(B129,[2]查询时间段分门店销售汇总!$D$3:$M$145,10,0)</f>
        <v>8875.04</v>
      </c>
      <c r="AD129" s="48">
        <f t="shared" si="73"/>
        <v>34980</v>
      </c>
      <c r="AE129" s="48">
        <f t="shared" si="74"/>
        <v>10166.16744</v>
      </c>
      <c r="AF129" s="49">
        <v>8745</v>
      </c>
      <c r="AG129" s="49">
        <v>2541.54186</v>
      </c>
      <c r="AH129" s="53">
        <f t="shared" si="75"/>
        <v>0.290628</v>
      </c>
      <c r="AI129" s="53">
        <f t="shared" si="76"/>
        <v>1.06783447684391</v>
      </c>
      <c r="AJ129" s="53">
        <f t="shared" si="77"/>
        <v>0.872997622002575</v>
      </c>
      <c r="AK129" s="48"/>
      <c r="AL129" s="48">
        <f t="shared" si="78"/>
        <v>43725</v>
      </c>
      <c r="AM129" s="48">
        <f t="shared" si="79"/>
        <v>11691.092556</v>
      </c>
      <c r="AN129" s="54">
        <f t="shared" si="80"/>
        <v>0.854267581475129</v>
      </c>
      <c r="AO129" s="54">
        <f t="shared" si="81"/>
        <v>0.759128366958761</v>
      </c>
      <c r="AP129" s="49"/>
      <c r="AQ129" s="49">
        <v>10931.25</v>
      </c>
      <c r="AR129" s="49">
        <v>2922.773139</v>
      </c>
      <c r="AS129" s="53">
        <f t="shared" si="82"/>
        <v>0.26737776</v>
      </c>
      <c r="AT129" s="125">
        <f t="shared" si="83"/>
        <v>0</v>
      </c>
      <c r="AU129" s="57">
        <v>50</v>
      </c>
      <c r="AV129" s="128">
        <f>VLOOKUP(B129,[4]门店奖励金额汇总!$A:$D,4,0)</f>
        <v>104</v>
      </c>
      <c r="AW129" s="76">
        <f t="shared" si="84"/>
        <v>416</v>
      </c>
    </row>
    <row r="130" spans="1:49">
      <c r="A130" s="23">
        <v>128</v>
      </c>
      <c r="B130" s="24">
        <v>716</v>
      </c>
      <c r="C130" s="24" t="s">
        <v>171</v>
      </c>
      <c r="D130" s="24" t="s">
        <v>166</v>
      </c>
      <c r="E130" s="123">
        <f>VLOOKUP(B130,[3]正式员工人数!$A:$C,3,0)</f>
        <v>3</v>
      </c>
      <c r="F130" s="27">
        <v>3</v>
      </c>
      <c r="G130" s="27">
        <v>100</v>
      </c>
      <c r="H130" s="28">
        <f>VLOOKUP(B130,[1]查询时间段分门店销售汇总!$D$3:$L$145,9,0)</f>
        <v>32769.35</v>
      </c>
      <c r="I130" s="28">
        <f>VLOOKUP(B130,[1]查询时间段分门店销售汇总!$D$3:$M$145,10,0)</f>
        <v>6530.05</v>
      </c>
      <c r="J130" s="32">
        <f t="shared" si="63"/>
        <v>39000</v>
      </c>
      <c r="K130" s="32">
        <f t="shared" si="64"/>
        <v>10233.288</v>
      </c>
      <c r="L130" s="38">
        <v>13000</v>
      </c>
      <c r="M130" s="39">
        <v>3411.096</v>
      </c>
      <c r="N130" s="40">
        <f t="shared" si="65"/>
        <v>0.262392</v>
      </c>
      <c r="O130" s="40">
        <f t="shared" si="66"/>
        <v>0.840239743589744</v>
      </c>
      <c r="P130" s="40">
        <f t="shared" si="67"/>
        <v>0.638118462023154</v>
      </c>
      <c r="Q130" s="43"/>
      <c r="R130" s="43"/>
      <c r="S130" s="43">
        <f t="shared" si="68"/>
        <v>42900</v>
      </c>
      <c r="T130" s="43">
        <f t="shared" si="69"/>
        <v>10130.95512</v>
      </c>
      <c r="U130" s="38">
        <v>14300</v>
      </c>
      <c r="V130" s="39">
        <v>3376.98504</v>
      </c>
      <c r="W130" s="40">
        <f t="shared" si="70"/>
        <v>0.2361528</v>
      </c>
      <c r="X130" s="40">
        <f t="shared" si="71"/>
        <v>0.763854312354312</v>
      </c>
      <c r="Y130" s="40">
        <f t="shared" si="72"/>
        <v>0.644564103053691</v>
      </c>
      <c r="Z130" s="43"/>
      <c r="AA130" s="43"/>
      <c r="AB130" s="47">
        <f>VLOOKUP(B130,[2]查询时间段分门店销售汇总!$D$3:$L$145,9,0)</f>
        <v>25918.64</v>
      </c>
      <c r="AC130" s="47">
        <f>VLOOKUP(B130,[2]查询时间段分门店销售汇总!$D$3:$M$145,10,0)</f>
        <v>6883.38</v>
      </c>
      <c r="AD130" s="48">
        <f t="shared" si="73"/>
        <v>34320</v>
      </c>
      <c r="AE130" s="48">
        <f t="shared" si="74"/>
        <v>10130.95512</v>
      </c>
      <c r="AF130" s="49">
        <v>8580</v>
      </c>
      <c r="AG130" s="49">
        <v>2532.73878</v>
      </c>
      <c r="AH130" s="53">
        <f t="shared" si="75"/>
        <v>0.295191</v>
      </c>
      <c r="AI130" s="53">
        <f t="shared" si="76"/>
        <v>0.755205128205128</v>
      </c>
      <c r="AJ130" s="53">
        <f t="shared" si="77"/>
        <v>0.679440380345896</v>
      </c>
      <c r="AK130" s="48"/>
      <c r="AL130" s="48">
        <f t="shared" si="78"/>
        <v>42900</v>
      </c>
      <c r="AM130" s="48">
        <f t="shared" si="79"/>
        <v>11650.598388</v>
      </c>
      <c r="AN130" s="54">
        <f t="shared" si="80"/>
        <v>0.604164102564103</v>
      </c>
      <c r="AO130" s="54">
        <f t="shared" si="81"/>
        <v>0.590817722039909</v>
      </c>
      <c r="AP130" s="49"/>
      <c r="AQ130" s="49">
        <v>10725</v>
      </c>
      <c r="AR130" s="49">
        <v>2912.649597</v>
      </c>
      <c r="AS130" s="53">
        <f t="shared" si="82"/>
        <v>0.27157572</v>
      </c>
      <c r="AT130" s="125">
        <f t="shared" si="83"/>
        <v>0</v>
      </c>
      <c r="AU130" s="57">
        <v>50</v>
      </c>
      <c r="AV130" s="128">
        <f>VLOOKUP(B130,[4]门店奖励金额汇总!$A:$D,4,0)</f>
        <v>106</v>
      </c>
      <c r="AW130" s="76">
        <f t="shared" si="84"/>
        <v>424</v>
      </c>
    </row>
    <row r="131" spans="1:49">
      <c r="A131" s="23">
        <v>129</v>
      </c>
      <c r="B131" s="24">
        <v>107728</v>
      </c>
      <c r="C131" s="24" t="s">
        <v>172</v>
      </c>
      <c r="D131" s="24" t="s">
        <v>166</v>
      </c>
      <c r="E131" s="123">
        <f>VLOOKUP(B131,[3]正式员工人数!$A:$C,3,0)</f>
        <v>2</v>
      </c>
      <c r="F131" s="27">
        <v>4</v>
      </c>
      <c r="G131" s="27">
        <v>100</v>
      </c>
      <c r="H131" s="28">
        <f>VLOOKUP(B131,[1]查询时间段分门店销售汇总!$D$3:$L$145,9,0)</f>
        <v>31178.37</v>
      </c>
      <c r="I131" s="28">
        <f>VLOOKUP(B131,[1]查询时间段分门店销售汇总!$D$3:$M$145,10,0)</f>
        <v>5295.31</v>
      </c>
      <c r="J131" s="32">
        <f t="shared" si="63"/>
        <v>36000</v>
      </c>
      <c r="K131" s="32">
        <f t="shared" si="64"/>
        <v>7868.016</v>
      </c>
      <c r="L131" s="38">
        <v>12000</v>
      </c>
      <c r="M131" s="39">
        <v>2622.672</v>
      </c>
      <c r="N131" s="40">
        <f t="shared" si="65"/>
        <v>0.218556</v>
      </c>
      <c r="O131" s="40">
        <f t="shared" si="66"/>
        <v>0.866065833333333</v>
      </c>
      <c r="P131" s="40">
        <f t="shared" si="67"/>
        <v>0.673017187560371</v>
      </c>
      <c r="Q131" s="43"/>
      <c r="R131" s="43"/>
      <c r="S131" s="43">
        <f t="shared" si="68"/>
        <v>39600</v>
      </c>
      <c r="T131" s="43">
        <f t="shared" si="69"/>
        <v>7789.33584</v>
      </c>
      <c r="U131" s="38">
        <v>13200</v>
      </c>
      <c r="V131" s="39">
        <v>2596.44528</v>
      </c>
      <c r="W131" s="40">
        <f t="shared" si="70"/>
        <v>0.1967004</v>
      </c>
      <c r="X131" s="40">
        <f t="shared" si="71"/>
        <v>0.787332575757576</v>
      </c>
      <c r="Y131" s="40">
        <f t="shared" si="72"/>
        <v>0.679815340970072</v>
      </c>
      <c r="Z131" s="43"/>
      <c r="AA131" s="43"/>
      <c r="AB131" s="47">
        <f>VLOOKUP(B131,[2]查询时间段分门店销售汇总!$D$3:$L$145,9,0)</f>
        <v>32897.61</v>
      </c>
      <c r="AC131" s="47">
        <f>VLOOKUP(B131,[2]查询时间段分门店销售汇总!$D$3:$M$145,10,0)</f>
        <v>7262.87</v>
      </c>
      <c r="AD131" s="48">
        <f t="shared" si="73"/>
        <v>31680</v>
      </c>
      <c r="AE131" s="48">
        <f t="shared" si="74"/>
        <v>7789.33584</v>
      </c>
      <c r="AF131" s="49">
        <v>7920</v>
      </c>
      <c r="AG131" s="49">
        <v>1947.33396</v>
      </c>
      <c r="AH131" s="53">
        <f t="shared" si="75"/>
        <v>0.2458755</v>
      </c>
      <c r="AI131" s="53">
        <f t="shared" si="76"/>
        <v>1.03843465909091</v>
      </c>
      <c r="AJ131" s="53">
        <f t="shared" si="77"/>
        <v>0.932411973136852</v>
      </c>
      <c r="AK131" s="48"/>
      <c r="AL131" s="48">
        <f t="shared" si="78"/>
        <v>39600</v>
      </c>
      <c r="AM131" s="48">
        <f t="shared" si="79"/>
        <v>8957.736216</v>
      </c>
      <c r="AN131" s="54">
        <f t="shared" si="80"/>
        <v>0.830747727272727</v>
      </c>
      <c r="AO131" s="54">
        <f t="shared" si="81"/>
        <v>0.810793020119002</v>
      </c>
      <c r="AP131" s="49"/>
      <c r="AQ131" s="49">
        <v>9900</v>
      </c>
      <c r="AR131" s="49">
        <v>2239.434054</v>
      </c>
      <c r="AS131" s="53">
        <f t="shared" si="82"/>
        <v>0.22620546</v>
      </c>
      <c r="AT131" s="125">
        <f t="shared" si="83"/>
        <v>0</v>
      </c>
      <c r="AU131" s="57">
        <v>50</v>
      </c>
      <c r="AV131" s="128">
        <f>VLOOKUP(B131,[4]门店奖励金额汇总!$A:$D,4,0)</f>
        <v>133</v>
      </c>
      <c r="AW131" s="76">
        <f t="shared" si="84"/>
        <v>532</v>
      </c>
    </row>
    <row r="132" spans="1:49">
      <c r="A132" s="23">
        <v>130</v>
      </c>
      <c r="B132" s="24">
        <v>539</v>
      </c>
      <c r="C132" s="24" t="s">
        <v>173</v>
      </c>
      <c r="D132" s="24" t="s">
        <v>166</v>
      </c>
      <c r="E132" s="123">
        <f>VLOOKUP(B132,[3]正式员工人数!$A:$C,3,0)</f>
        <v>2</v>
      </c>
      <c r="F132" s="27">
        <v>4</v>
      </c>
      <c r="G132" s="27">
        <v>100</v>
      </c>
      <c r="H132" s="28">
        <f>VLOOKUP(B132,[1]查询时间段分门店销售汇总!$D$3:$L$145,9,0)</f>
        <v>40250.51</v>
      </c>
      <c r="I132" s="28">
        <f>VLOOKUP(B132,[1]查询时间段分门店销售汇总!$D$3:$M$145,10,0)</f>
        <v>6718.38</v>
      </c>
      <c r="J132" s="32">
        <f t="shared" si="63"/>
        <v>36570</v>
      </c>
      <c r="K132" s="32">
        <f t="shared" si="64"/>
        <v>7921.28142</v>
      </c>
      <c r="L132" s="38">
        <v>12190</v>
      </c>
      <c r="M132" s="39">
        <v>2640.42714</v>
      </c>
      <c r="N132" s="40">
        <f t="shared" si="65"/>
        <v>0.216606</v>
      </c>
      <c r="O132" s="41">
        <f t="shared" si="66"/>
        <v>1.10064287667487</v>
      </c>
      <c r="P132" s="40">
        <f t="shared" si="67"/>
        <v>0.848143077335586</v>
      </c>
      <c r="Q132" s="43"/>
      <c r="R132" s="43"/>
      <c r="S132" s="43">
        <f t="shared" si="68"/>
        <v>40227</v>
      </c>
      <c r="T132" s="43">
        <f t="shared" si="69"/>
        <v>7842.0686058</v>
      </c>
      <c r="U132" s="38">
        <v>13409</v>
      </c>
      <c r="V132" s="39">
        <v>2614.0228686</v>
      </c>
      <c r="W132" s="40">
        <f t="shared" si="70"/>
        <v>0.1949454</v>
      </c>
      <c r="X132" s="41">
        <f t="shared" si="71"/>
        <v>1.00058443334079</v>
      </c>
      <c r="Y132" s="40">
        <f t="shared" si="72"/>
        <v>0.856710179126854</v>
      </c>
      <c r="Z132" s="43">
        <f>150*E132</f>
        <v>300</v>
      </c>
      <c r="AA132" s="43"/>
      <c r="AB132" s="47">
        <f>VLOOKUP(B132,[2]查询时间段分门店销售汇总!$D$3:$L$145,9,0)</f>
        <v>35098.23</v>
      </c>
      <c r="AC132" s="47">
        <f>VLOOKUP(B132,[2]查询时间段分门店销售汇总!$D$3:$M$145,10,0)</f>
        <v>7842.9</v>
      </c>
      <c r="AD132" s="48">
        <f t="shared" si="73"/>
        <v>32181.6</v>
      </c>
      <c r="AE132" s="48">
        <f t="shared" si="74"/>
        <v>7842.0686058</v>
      </c>
      <c r="AF132" s="49">
        <v>8045.4</v>
      </c>
      <c r="AG132" s="49">
        <v>1960.51715145</v>
      </c>
      <c r="AH132" s="53">
        <f t="shared" si="75"/>
        <v>0.24368175</v>
      </c>
      <c r="AI132" s="41">
        <f t="shared" si="76"/>
        <v>1.09063036020583</v>
      </c>
      <c r="AJ132" s="41">
        <f t="shared" si="77"/>
        <v>1.00010601720564</v>
      </c>
      <c r="AK132" s="48">
        <v>300</v>
      </c>
      <c r="AL132" s="48">
        <f t="shared" si="78"/>
        <v>40227</v>
      </c>
      <c r="AM132" s="48">
        <f t="shared" si="79"/>
        <v>9018.37889667</v>
      </c>
      <c r="AN132" s="54">
        <f t="shared" si="80"/>
        <v>0.872504288164666</v>
      </c>
      <c r="AO132" s="54">
        <f t="shared" si="81"/>
        <v>0.869657406265771</v>
      </c>
      <c r="AP132" s="49"/>
      <c r="AQ132" s="49">
        <v>10056.75</v>
      </c>
      <c r="AR132" s="49">
        <v>2254.5947241675</v>
      </c>
      <c r="AS132" s="53">
        <f t="shared" si="82"/>
        <v>0.22418721</v>
      </c>
      <c r="AT132" s="125">
        <f t="shared" si="83"/>
        <v>600</v>
      </c>
      <c r="AU132" s="57">
        <v>50</v>
      </c>
      <c r="AV132" s="128">
        <f>VLOOKUP(B132,[4]门店奖励金额汇总!$A:$D,4,0)</f>
        <v>157</v>
      </c>
      <c r="AW132" s="76">
        <f t="shared" si="84"/>
        <v>628</v>
      </c>
    </row>
    <row r="133" spans="1:49">
      <c r="A133" s="23">
        <v>131</v>
      </c>
      <c r="B133" s="24">
        <v>748</v>
      </c>
      <c r="C133" s="24" t="s">
        <v>174</v>
      </c>
      <c r="D133" s="24" t="s">
        <v>166</v>
      </c>
      <c r="E133" s="123">
        <f>VLOOKUP(B133,[3]正式员工人数!$A:$C,3,0)</f>
        <v>2</v>
      </c>
      <c r="F133" s="27">
        <v>5</v>
      </c>
      <c r="G133" s="27">
        <v>100</v>
      </c>
      <c r="H133" s="28">
        <f>VLOOKUP(B133,[1]查询时间段分门店销售汇总!$D$3:$L$145,9,0)</f>
        <v>27778.6</v>
      </c>
      <c r="I133" s="28">
        <f>VLOOKUP(B133,[1]查询时间段分门店销售汇总!$D$3:$M$145,10,0)</f>
        <v>3973.41</v>
      </c>
      <c r="J133" s="32">
        <f t="shared" si="63"/>
        <v>36570</v>
      </c>
      <c r="K133" s="32">
        <f t="shared" si="64"/>
        <v>9455.9049</v>
      </c>
      <c r="L133" s="38">
        <v>12190</v>
      </c>
      <c r="M133" s="39">
        <v>3151.9683</v>
      </c>
      <c r="N133" s="40">
        <f t="shared" si="65"/>
        <v>0.25857</v>
      </c>
      <c r="O133" s="40">
        <f t="shared" si="66"/>
        <v>0.759600765654908</v>
      </c>
      <c r="P133" s="40">
        <f t="shared" si="67"/>
        <v>0.420204099133865</v>
      </c>
      <c r="Q133" s="43"/>
      <c r="R133" s="43"/>
      <c r="S133" s="43">
        <f t="shared" si="68"/>
        <v>40227</v>
      </c>
      <c r="T133" s="43">
        <f t="shared" si="69"/>
        <v>9361.345851</v>
      </c>
      <c r="U133" s="38">
        <v>13409</v>
      </c>
      <c r="V133" s="39">
        <v>3120.448617</v>
      </c>
      <c r="W133" s="40">
        <f t="shared" si="70"/>
        <v>0.232713</v>
      </c>
      <c r="X133" s="40">
        <f t="shared" si="71"/>
        <v>0.690546150595371</v>
      </c>
      <c r="Y133" s="40">
        <f t="shared" si="72"/>
        <v>0.424448584983702</v>
      </c>
      <c r="Z133" s="43"/>
      <c r="AA133" s="43"/>
      <c r="AB133" s="47">
        <f>VLOOKUP(B133,[2]查询时间段分门店销售汇总!$D$3:$L$145,9,0)</f>
        <v>25563.19</v>
      </c>
      <c r="AC133" s="47">
        <f>VLOOKUP(B133,[2]查询时间段分门店销售汇总!$D$3:$M$145,10,0)</f>
        <v>5695.86</v>
      </c>
      <c r="AD133" s="48">
        <f t="shared" si="73"/>
        <v>32181.6</v>
      </c>
      <c r="AE133" s="48">
        <f t="shared" si="74"/>
        <v>9361.345851</v>
      </c>
      <c r="AF133" s="49">
        <v>8045.4</v>
      </c>
      <c r="AG133" s="49">
        <v>2340.33646275</v>
      </c>
      <c r="AH133" s="53">
        <f t="shared" si="75"/>
        <v>0.29089125</v>
      </c>
      <c r="AI133" s="53">
        <f t="shared" si="76"/>
        <v>0.794341797797499</v>
      </c>
      <c r="AJ133" s="53">
        <f t="shared" si="77"/>
        <v>0.608444564559225</v>
      </c>
      <c r="AK133" s="48"/>
      <c r="AL133" s="48">
        <f t="shared" si="78"/>
        <v>40227</v>
      </c>
      <c r="AM133" s="48">
        <f t="shared" si="79"/>
        <v>10765.54772865</v>
      </c>
      <c r="AN133" s="54">
        <f t="shared" si="80"/>
        <v>0.635473438237999</v>
      </c>
      <c r="AO133" s="54">
        <f t="shared" si="81"/>
        <v>0.5290822300515</v>
      </c>
      <c r="AP133" s="49"/>
      <c r="AQ133" s="49">
        <v>10056.75</v>
      </c>
      <c r="AR133" s="49">
        <v>2691.3869321625</v>
      </c>
      <c r="AS133" s="53">
        <f t="shared" si="82"/>
        <v>0.26761995</v>
      </c>
      <c r="AT133" s="125">
        <f t="shared" si="83"/>
        <v>0</v>
      </c>
      <c r="AU133" s="57">
        <v>40</v>
      </c>
      <c r="AV133" s="128">
        <f>VLOOKUP(B133,[4]门店奖励金额汇总!$A:$D,4,0)</f>
        <v>68</v>
      </c>
      <c r="AW133" s="76">
        <f t="shared" si="84"/>
        <v>272</v>
      </c>
    </row>
    <row r="134" spans="1:48">
      <c r="A134" s="23">
        <v>132</v>
      </c>
      <c r="B134" s="24">
        <v>594</v>
      </c>
      <c r="C134" s="24" t="s">
        <v>175</v>
      </c>
      <c r="D134" s="24" t="s">
        <v>166</v>
      </c>
      <c r="E134" s="123">
        <f>VLOOKUP(B134,[3]正式员工人数!$A:$C,3,0)</f>
        <v>2</v>
      </c>
      <c r="F134" s="27">
        <v>5</v>
      </c>
      <c r="G134" s="27">
        <v>100</v>
      </c>
      <c r="H134" s="28">
        <f>VLOOKUP(B134,[1]查询时间段分门店销售汇总!$D$3:$L$145,9,0)</f>
        <v>21338.74</v>
      </c>
      <c r="I134" s="28">
        <f>VLOOKUP(B134,[1]查询时间段分门店销售汇总!$D$3:$M$145,10,0)</f>
        <v>4720.81</v>
      </c>
      <c r="J134" s="32">
        <f t="shared" si="63"/>
        <v>34185</v>
      </c>
      <c r="K134" s="32">
        <f t="shared" si="64"/>
        <v>8524.57671</v>
      </c>
      <c r="L134" s="38">
        <v>11395</v>
      </c>
      <c r="M134" s="39">
        <v>2841.52557</v>
      </c>
      <c r="N134" s="40">
        <f t="shared" si="65"/>
        <v>0.249366</v>
      </c>
      <c r="O134" s="40">
        <f t="shared" si="66"/>
        <v>0.624213543952026</v>
      </c>
      <c r="P134" s="40">
        <f t="shared" si="67"/>
        <v>0.553788200939305</v>
      </c>
      <c r="Q134" s="43"/>
      <c r="R134" s="43"/>
      <c r="S134" s="43">
        <f t="shared" si="68"/>
        <v>37603.5</v>
      </c>
      <c r="T134" s="43">
        <f t="shared" si="69"/>
        <v>8439.3309429</v>
      </c>
      <c r="U134" s="38">
        <v>12534.5</v>
      </c>
      <c r="V134" s="39">
        <v>2813.1103143</v>
      </c>
      <c r="W134" s="40">
        <f t="shared" si="70"/>
        <v>0.2244294</v>
      </c>
      <c r="X134" s="40">
        <f t="shared" si="71"/>
        <v>0.567466858138205</v>
      </c>
      <c r="Y134" s="40">
        <f t="shared" si="72"/>
        <v>0.559382021150813</v>
      </c>
      <c r="Z134" s="43"/>
      <c r="AA134" s="43"/>
      <c r="AB134" s="47">
        <f>VLOOKUP(B134,[2]查询时间段分门店销售汇总!$D$3:$L$145,9,0)</f>
        <v>28302.71</v>
      </c>
      <c r="AC134" s="47">
        <f>VLOOKUP(B134,[2]查询时间段分门店销售汇总!$D$3:$M$145,10,0)</f>
        <v>6413.82</v>
      </c>
      <c r="AD134" s="48">
        <f t="shared" si="73"/>
        <v>30082.8</v>
      </c>
      <c r="AE134" s="48">
        <f t="shared" si="74"/>
        <v>8439.3309429</v>
      </c>
      <c r="AF134" s="49">
        <v>7520.7</v>
      </c>
      <c r="AG134" s="49">
        <v>2109.832735725</v>
      </c>
      <c r="AH134" s="53">
        <f t="shared" si="75"/>
        <v>0.28053675</v>
      </c>
      <c r="AI134" s="53">
        <f t="shared" si="76"/>
        <v>0.940826984190301</v>
      </c>
      <c r="AJ134" s="53">
        <f t="shared" si="77"/>
        <v>0.759991525796952</v>
      </c>
      <c r="AK134" s="48"/>
      <c r="AL134" s="48">
        <f t="shared" si="78"/>
        <v>37603.5</v>
      </c>
      <c r="AM134" s="48">
        <f t="shared" si="79"/>
        <v>9705.230584335</v>
      </c>
      <c r="AN134" s="54">
        <f t="shared" si="80"/>
        <v>0.752661587352241</v>
      </c>
      <c r="AO134" s="54">
        <f t="shared" si="81"/>
        <v>0.660862196345176</v>
      </c>
      <c r="AP134" s="49"/>
      <c r="AQ134" s="49">
        <v>9400.875</v>
      </c>
      <c r="AR134" s="49">
        <v>2426.30764608375</v>
      </c>
      <c r="AS134" s="53">
        <f t="shared" si="82"/>
        <v>0.25809381</v>
      </c>
      <c r="AT134" s="125">
        <f t="shared" si="83"/>
        <v>0</v>
      </c>
      <c r="AU134" s="57">
        <v>40</v>
      </c>
      <c r="AV134" s="118">
        <f>VLOOKUP(B134,[4]门店奖励金额汇总!$A:$D,4,0)</f>
        <v>33</v>
      </c>
    </row>
    <row r="135" spans="1:49">
      <c r="A135" s="23">
        <v>133</v>
      </c>
      <c r="B135" s="24">
        <v>102564</v>
      </c>
      <c r="C135" s="24" t="s">
        <v>176</v>
      </c>
      <c r="D135" s="24" t="s">
        <v>166</v>
      </c>
      <c r="E135" s="123">
        <f>VLOOKUP(B135,[3]正式员工人数!$A:$C,3,0)</f>
        <v>2</v>
      </c>
      <c r="F135" s="27">
        <v>6</v>
      </c>
      <c r="G135" s="27">
        <v>100</v>
      </c>
      <c r="H135" s="28">
        <f>VLOOKUP(B135,[1]查询时间段分门店销售汇总!$D$3:$L$145,9,0)</f>
        <v>27654.04</v>
      </c>
      <c r="I135" s="28">
        <f>VLOOKUP(B135,[1]查询时间段分门店销售汇总!$D$3:$M$145,10,0)</f>
        <v>4355.58</v>
      </c>
      <c r="J135" s="32">
        <f t="shared" si="63"/>
        <v>32595</v>
      </c>
      <c r="K135" s="32">
        <f t="shared" si="64"/>
        <v>7632.31482</v>
      </c>
      <c r="L135" s="38">
        <v>10865</v>
      </c>
      <c r="M135" s="39">
        <v>2544.10494</v>
      </c>
      <c r="N135" s="40">
        <f t="shared" si="65"/>
        <v>0.234156</v>
      </c>
      <c r="O135" s="40">
        <f t="shared" si="66"/>
        <v>0.848413560362019</v>
      </c>
      <c r="P135" s="40">
        <f t="shared" si="67"/>
        <v>0.570676145143604</v>
      </c>
      <c r="Q135" s="43"/>
      <c r="R135" s="43"/>
      <c r="S135" s="43">
        <f t="shared" si="68"/>
        <v>35854.5</v>
      </c>
      <c r="T135" s="43">
        <f t="shared" si="69"/>
        <v>7555.9916718</v>
      </c>
      <c r="U135" s="38">
        <v>11951.5</v>
      </c>
      <c r="V135" s="39">
        <v>2518.6638906</v>
      </c>
      <c r="W135" s="40">
        <f t="shared" si="70"/>
        <v>0.2107404</v>
      </c>
      <c r="X135" s="40">
        <f t="shared" si="71"/>
        <v>0.771285054874562</v>
      </c>
      <c r="Y135" s="40">
        <f t="shared" si="72"/>
        <v>0.576440550650105</v>
      </c>
      <c r="Z135" s="43"/>
      <c r="AA135" s="43"/>
      <c r="AB135" s="47">
        <f>VLOOKUP(B135,[2]查询时间段分门店销售汇总!$D$3:$L$145,9,0)</f>
        <v>18587.8</v>
      </c>
      <c r="AC135" s="47">
        <f>VLOOKUP(B135,[2]查询时间段分门店销售汇总!$D$3:$M$145,10,0)</f>
        <v>3501.24</v>
      </c>
      <c r="AD135" s="48">
        <f t="shared" si="73"/>
        <v>28683.6</v>
      </c>
      <c r="AE135" s="48">
        <f t="shared" si="74"/>
        <v>7555.9916718</v>
      </c>
      <c r="AF135" s="49">
        <v>7170.9</v>
      </c>
      <c r="AG135" s="49">
        <v>1888.99791795</v>
      </c>
      <c r="AH135" s="53">
        <f t="shared" si="75"/>
        <v>0.2634255</v>
      </c>
      <c r="AI135" s="53">
        <f t="shared" si="76"/>
        <v>0.648028838778954</v>
      </c>
      <c r="AJ135" s="53">
        <f t="shared" si="77"/>
        <v>0.463372665307071</v>
      </c>
      <c r="AK135" s="48"/>
      <c r="AL135" s="48">
        <f t="shared" si="78"/>
        <v>35854.5</v>
      </c>
      <c r="AM135" s="48">
        <f t="shared" si="79"/>
        <v>8689.39042257</v>
      </c>
      <c r="AN135" s="54">
        <f t="shared" si="80"/>
        <v>0.518423071023163</v>
      </c>
      <c r="AO135" s="54">
        <f t="shared" si="81"/>
        <v>0.402932752440932</v>
      </c>
      <c r="AP135" s="49"/>
      <c r="AQ135" s="49">
        <v>8963.625</v>
      </c>
      <c r="AR135" s="49">
        <v>2172.3476056425</v>
      </c>
      <c r="AS135" s="53">
        <f t="shared" si="82"/>
        <v>0.24235146</v>
      </c>
      <c r="AT135" s="125">
        <f t="shared" si="83"/>
        <v>0</v>
      </c>
      <c r="AU135" s="57">
        <v>40</v>
      </c>
      <c r="AV135" s="128">
        <f>VLOOKUP(B135,[4]门店奖励金额汇总!$A:$D,4,0)</f>
        <v>41</v>
      </c>
      <c r="AW135" s="76">
        <f>AV135*4</f>
        <v>164</v>
      </c>
    </row>
    <row r="136" spans="1:49">
      <c r="A136" s="23">
        <v>134</v>
      </c>
      <c r="B136" s="24">
        <v>720</v>
      </c>
      <c r="C136" s="24" t="s">
        <v>177</v>
      </c>
      <c r="D136" s="24" t="s">
        <v>166</v>
      </c>
      <c r="E136" s="123">
        <f>VLOOKUP(B136,[3]正式员工人数!$A:$C,3,0)</f>
        <v>2</v>
      </c>
      <c r="F136" s="27">
        <v>6</v>
      </c>
      <c r="G136" s="27">
        <v>100</v>
      </c>
      <c r="H136" s="28">
        <f>VLOOKUP(B136,[1]查询时间段分门店销售汇总!$D$3:$L$145,9,0)</f>
        <v>35895.48</v>
      </c>
      <c r="I136" s="28">
        <f>VLOOKUP(B136,[1]查询时间段分门店销售汇总!$D$3:$M$145,10,0)</f>
        <v>4071.16</v>
      </c>
      <c r="J136" s="32">
        <f t="shared" si="63"/>
        <v>31005</v>
      </c>
      <c r="K136" s="32">
        <f t="shared" si="64"/>
        <v>7562.30553</v>
      </c>
      <c r="L136" s="38">
        <v>10335</v>
      </c>
      <c r="M136" s="39">
        <v>2520.76851</v>
      </c>
      <c r="N136" s="40">
        <f t="shared" si="65"/>
        <v>0.243906</v>
      </c>
      <c r="O136" s="41">
        <f t="shared" si="66"/>
        <v>1.15773197871311</v>
      </c>
      <c r="P136" s="40">
        <f t="shared" si="67"/>
        <v>0.538349050279644</v>
      </c>
      <c r="Q136" s="43"/>
      <c r="R136" s="43"/>
      <c r="S136" s="43">
        <f t="shared" si="68"/>
        <v>34105.5</v>
      </c>
      <c r="T136" s="43">
        <f t="shared" si="69"/>
        <v>7486.6824747</v>
      </c>
      <c r="U136" s="38">
        <v>11368.5</v>
      </c>
      <c r="V136" s="39">
        <v>2495.5608249</v>
      </c>
      <c r="W136" s="40">
        <f t="shared" si="70"/>
        <v>0.2195154</v>
      </c>
      <c r="X136" s="41">
        <f t="shared" si="71"/>
        <v>1.05248361701192</v>
      </c>
      <c r="Y136" s="40">
        <f t="shared" si="72"/>
        <v>0.543786919474388</v>
      </c>
      <c r="Z136" s="43">
        <f>150*E136</f>
        <v>300</v>
      </c>
      <c r="AA136" s="43"/>
      <c r="AB136" s="47">
        <f>VLOOKUP(B136,[2]查询时间段分门店销售汇总!$D$3:$L$145,9,0)</f>
        <v>19861.05</v>
      </c>
      <c r="AC136" s="47">
        <f>VLOOKUP(B136,[2]查询时间段分门店销售汇总!$D$3:$M$145,10,0)</f>
        <v>3659.35</v>
      </c>
      <c r="AD136" s="48">
        <f t="shared" si="73"/>
        <v>27284.4</v>
      </c>
      <c r="AE136" s="48">
        <f t="shared" si="74"/>
        <v>7486.6824747</v>
      </c>
      <c r="AF136" s="49">
        <v>6821.1</v>
      </c>
      <c r="AG136" s="49">
        <v>1871.670618675</v>
      </c>
      <c r="AH136" s="53">
        <f t="shared" si="75"/>
        <v>0.27439425</v>
      </c>
      <c r="AI136" s="53">
        <f t="shared" si="76"/>
        <v>0.72792694726657</v>
      </c>
      <c r="AJ136" s="53">
        <f t="shared" si="77"/>
        <v>0.488781247550723</v>
      </c>
      <c r="AK136" s="48"/>
      <c r="AL136" s="48">
        <f t="shared" si="78"/>
        <v>34105.5</v>
      </c>
      <c r="AM136" s="48">
        <f t="shared" si="79"/>
        <v>8609.684845905</v>
      </c>
      <c r="AN136" s="54">
        <f t="shared" si="80"/>
        <v>0.582341557813256</v>
      </c>
      <c r="AO136" s="54">
        <f t="shared" si="81"/>
        <v>0.425027171783237</v>
      </c>
      <c r="AP136" s="49"/>
      <c r="AQ136" s="49">
        <v>8526.375</v>
      </c>
      <c r="AR136" s="49">
        <v>2152.42121147625</v>
      </c>
      <c r="AS136" s="53">
        <f t="shared" si="82"/>
        <v>0.25244271</v>
      </c>
      <c r="AT136" s="125">
        <f t="shared" si="83"/>
        <v>300</v>
      </c>
      <c r="AU136" s="57">
        <v>40</v>
      </c>
      <c r="AV136" s="128">
        <f>VLOOKUP(B136,[4]门店奖励金额汇总!$A:$D,4,0)</f>
        <v>295</v>
      </c>
      <c r="AW136" s="76">
        <f>AV136*4</f>
        <v>1180</v>
      </c>
    </row>
    <row r="137" spans="1:49">
      <c r="A137" s="23">
        <v>135</v>
      </c>
      <c r="B137" s="24">
        <v>549</v>
      </c>
      <c r="C137" s="24" t="s">
        <v>178</v>
      </c>
      <c r="D137" s="24" t="s">
        <v>166</v>
      </c>
      <c r="E137" s="123">
        <f>VLOOKUP(B137,[3]正式员工人数!$A:$C,3,0)</f>
        <v>2</v>
      </c>
      <c r="F137" s="27">
        <v>7</v>
      </c>
      <c r="G137" s="27">
        <v>100</v>
      </c>
      <c r="H137" s="28">
        <f>VLOOKUP(B137,[1]查询时间段分门店销售汇总!$D$3:$L$145,9,0)</f>
        <v>33642.91</v>
      </c>
      <c r="I137" s="28">
        <f>VLOOKUP(B137,[1]查询时间段分门店销售汇总!$D$3:$M$145,10,0)</f>
        <v>7107.71</v>
      </c>
      <c r="J137" s="32">
        <f t="shared" si="63"/>
        <v>30210</v>
      </c>
      <c r="K137" s="32">
        <f t="shared" si="64"/>
        <v>6918.33168</v>
      </c>
      <c r="L137" s="38">
        <v>10070</v>
      </c>
      <c r="M137" s="39">
        <v>2306.11056</v>
      </c>
      <c r="N137" s="40">
        <f t="shared" si="65"/>
        <v>0.229008</v>
      </c>
      <c r="O137" s="41">
        <f t="shared" si="66"/>
        <v>1.11363488910957</v>
      </c>
      <c r="P137" s="41">
        <f t="shared" si="67"/>
        <v>1.02737340861345</v>
      </c>
      <c r="Q137" s="43"/>
      <c r="R137" s="43"/>
      <c r="S137" s="43">
        <f t="shared" si="68"/>
        <v>33231</v>
      </c>
      <c r="T137" s="43">
        <f t="shared" si="69"/>
        <v>6849.1483632</v>
      </c>
      <c r="U137" s="38">
        <v>11077</v>
      </c>
      <c r="V137" s="39">
        <v>2283.0494544</v>
      </c>
      <c r="W137" s="40">
        <f t="shared" si="70"/>
        <v>0.2061072</v>
      </c>
      <c r="X137" s="41">
        <f t="shared" si="71"/>
        <v>1.01239535373597</v>
      </c>
      <c r="Y137" s="41">
        <f t="shared" si="72"/>
        <v>1.03775091779136</v>
      </c>
      <c r="Z137" s="43">
        <f>150*E137</f>
        <v>300</v>
      </c>
      <c r="AA137" s="43">
        <f>(I137-K137)*0.3</f>
        <v>56.8134959999999</v>
      </c>
      <c r="AB137" s="47">
        <f>VLOOKUP(B137,[2]查询时间段分门店销售汇总!$D$3:$L$145,9,0)</f>
        <v>20900.47</v>
      </c>
      <c r="AC137" s="47">
        <f>VLOOKUP(B137,[2]查询时间段分门店销售汇总!$D$3:$M$145,10,0)</f>
        <v>4555.45</v>
      </c>
      <c r="AD137" s="48">
        <f t="shared" si="73"/>
        <v>26584.8</v>
      </c>
      <c r="AE137" s="48">
        <f t="shared" si="74"/>
        <v>6849.1483632</v>
      </c>
      <c r="AF137" s="49">
        <v>6646.2</v>
      </c>
      <c r="AG137" s="49">
        <v>1712.2870908</v>
      </c>
      <c r="AH137" s="53">
        <f t="shared" si="75"/>
        <v>0.257634</v>
      </c>
      <c r="AI137" s="53">
        <f t="shared" si="76"/>
        <v>0.786181201287954</v>
      </c>
      <c r="AJ137" s="53">
        <f t="shared" si="77"/>
        <v>0.665111888140154</v>
      </c>
      <c r="AK137" s="48"/>
      <c r="AL137" s="48">
        <f t="shared" si="78"/>
        <v>33231</v>
      </c>
      <c r="AM137" s="48">
        <f t="shared" si="79"/>
        <v>7876.52061768</v>
      </c>
      <c r="AN137" s="54">
        <f t="shared" si="80"/>
        <v>0.628944961030363</v>
      </c>
      <c r="AO137" s="54">
        <f t="shared" si="81"/>
        <v>0.578358163600134</v>
      </c>
      <c r="AP137" s="49"/>
      <c r="AQ137" s="49">
        <v>8307.75</v>
      </c>
      <c r="AR137" s="49">
        <v>1969.13015442</v>
      </c>
      <c r="AS137" s="53">
        <f t="shared" si="82"/>
        <v>0.23702328</v>
      </c>
      <c r="AT137" s="125">
        <f t="shared" si="83"/>
        <v>356.813496</v>
      </c>
      <c r="AU137" s="57">
        <v>40</v>
      </c>
      <c r="AV137" s="128">
        <f>VLOOKUP(B137,[4]门店奖励金额汇总!$A:$D,4,0)</f>
        <v>62</v>
      </c>
      <c r="AW137" s="76">
        <f>AV137*4</f>
        <v>248</v>
      </c>
    </row>
    <row r="138" spans="1:48">
      <c r="A138" s="23">
        <v>136</v>
      </c>
      <c r="B138" s="24">
        <v>732</v>
      </c>
      <c r="C138" s="24" t="s">
        <v>179</v>
      </c>
      <c r="D138" s="24" t="s">
        <v>166</v>
      </c>
      <c r="E138" s="123">
        <f>VLOOKUP(B138,[3]正式员工人数!$A:$C,3,0)</f>
        <v>2</v>
      </c>
      <c r="F138" s="27">
        <v>7</v>
      </c>
      <c r="G138" s="27">
        <v>100</v>
      </c>
      <c r="H138" s="28">
        <f>VLOOKUP(B138,[1]查询时间段分门店销售汇总!$D$3:$L$145,9,0)</f>
        <v>17902.15</v>
      </c>
      <c r="I138" s="28">
        <f>VLOOKUP(B138,[1]查询时间段分门店销售汇总!$D$3:$M$145,10,0)</f>
        <v>3148.33</v>
      </c>
      <c r="J138" s="32">
        <f t="shared" si="63"/>
        <v>27825</v>
      </c>
      <c r="K138" s="32">
        <f t="shared" si="64"/>
        <v>6628.2489</v>
      </c>
      <c r="L138" s="38">
        <v>9275</v>
      </c>
      <c r="M138" s="39">
        <v>2209.4163</v>
      </c>
      <c r="N138" s="40">
        <f t="shared" si="65"/>
        <v>0.238212</v>
      </c>
      <c r="O138" s="40">
        <f t="shared" si="66"/>
        <v>0.643383647798742</v>
      </c>
      <c r="P138" s="40">
        <f t="shared" si="67"/>
        <v>0.474986689169141</v>
      </c>
      <c r="Q138" s="43"/>
      <c r="R138" s="43"/>
      <c r="S138" s="43">
        <f t="shared" si="68"/>
        <v>30607.5</v>
      </c>
      <c r="T138" s="43">
        <f t="shared" si="69"/>
        <v>6561.966411</v>
      </c>
      <c r="U138" s="38">
        <v>10202.5</v>
      </c>
      <c r="V138" s="39">
        <v>2187.322137</v>
      </c>
      <c r="W138" s="40">
        <f t="shared" si="70"/>
        <v>0.2143908</v>
      </c>
      <c r="X138" s="40">
        <f t="shared" si="71"/>
        <v>0.584894225271584</v>
      </c>
      <c r="Y138" s="40">
        <f t="shared" si="72"/>
        <v>0.479784534514284</v>
      </c>
      <c r="Z138" s="43"/>
      <c r="AA138" s="43"/>
      <c r="AB138" s="47">
        <f>VLOOKUP(B138,[2]查询时间段分门店销售汇总!$D$3:$L$145,9,0)</f>
        <v>14834.41</v>
      </c>
      <c r="AC138" s="47">
        <f>VLOOKUP(B138,[2]查询时间段分门店销售汇总!$D$3:$M$145,10,0)</f>
        <v>3739.71</v>
      </c>
      <c r="AD138" s="48">
        <f t="shared" si="73"/>
        <v>24486</v>
      </c>
      <c r="AE138" s="48">
        <f t="shared" si="74"/>
        <v>6561.966411</v>
      </c>
      <c r="AF138" s="49">
        <v>6121.5</v>
      </c>
      <c r="AG138" s="49">
        <v>1640.49160275</v>
      </c>
      <c r="AH138" s="53">
        <f t="shared" si="75"/>
        <v>0.2679885</v>
      </c>
      <c r="AI138" s="53">
        <f t="shared" si="76"/>
        <v>0.605832312341746</v>
      </c>
      <c r="AJ138" s="53">
        <f t="shared" si="77"/>
        <v>0.569906909875525</v>
      </c>
      <c r="AK138" s="48"/>
      <c r="AL138" s="48">
        <f t="shared" si="78"/>
        <v>30607.5</v>
      </c>
      <c r="AM138" s="48">
        <f t="shared" si="79"/>
        <v>7546.26137265</v>
      </c>
      <c r="AN138" s="54">
        <f t="shared" si="80"/>
        <v>0.484665849873397</v>
      </c>
      <c r="AO138" s="54">
        <f t="shared" si="81"/>
        <v>0.495571225978717</v>
      </c>
      <c r="AP138" s="49"/>
      <c r="AQ138" s="49">
        <v>7651.875</v>
      </c>
      <c r="AR138" s="49">
        <v>1886.5653431625</v>
      </c>
      <c r="AS138" s="53">
        <f t="shared" si="82"/>
        <v>0.24654942</v>
      </c>
      <c r="AT138" s="125">
        <f t="shared" si="83"/>
        <v>0</v>
      </c>
      <c r="AU138" s="57">
        <v>40</v>
      </c>
      <c r="AV138" s="118">
        <f>VLOOKUP(B138,[4]门店奖励金额汇总!$A:$D,4,0)</f>
        <v>36</v>
      </c>
    </row>
    <row r="139" spans="1:49">
      <c r="A139" s="23">
        <v>137</v>
      </c>
      <c r="B139" s="24">
        <v>104533</v>
      </c>
      <c r="C139" s="24" t="s">
        <v>180</v>
      </c>
      <c r="D139" s="24" t="s">
        <v>166</v>
      </c>
      <c r="E139" s="123">
        <f>VLOOKUP(B139,[3]正式员工人数!$A:$C,3,0)</f>
        <v>2</v>
      </c>
      <c r="F139" s="27">
        <v>8</v>
      </c>
      <c r="G139" s="27">
        <v>100</v>
      </c>
      <c r="H139" s="28">
        <f>VLOOKUP(B139,[1]查询时间段分门店销售汇总!$D$3:$L$145,9,0)</f>
        <v>18190.57</v>
      </c>
      <c r="I139" s="28">
        <f>VLOOKUP(B139,[1]查询时间段分门店销售汇总!$D$3:$M$145,10,0)</f>
        <v>3289.71</v>
      </c>
      <c r="J139" s="32">
        <f t="shared" si="63"/>
        <v>27030</v>
      </c>
      <c r="K139" s="32">
        <f t="shared" si="64"/>
        <v>7098.78078</v>
      </c>
      <c r="L139" s="38">
        <v>9010</v>
      </c>
      <c r="M139" s="39">
        <v>2366.26026</v>
      </c>
      <c r="N139" s="40">
        <f t="shared" si="65"/>
        <v>0.262626</v>
      </c>
      <c r="O139" s="40">
        <f t="shared" si="66"/>
        <v>0.672977062523122</v>
      </c>
      <c r="P139" s="40">
        <f t="shared" si="67"/>
        <v>0.463419015455215</v>
      </c>
      <c r="Q139" s="43"/>
      <c r="R139" s="43"/>
      <c r="S139" s="43">
        <f t="shared" si="68"/>
        <v>29733</v>
      </c>
      <c r="T139" s="43">
        <f t="shared" si="69"/>
        <v>7027.7929722</v>
      </c>
      <c r="U139" s="38">
        <v>9911</v>
      </c>
      <c r="V139" s="39">
        <v>2342.5976574</v>
      </c>
      <c r="W139" s="40">
        <f t="shared" si="70"/>
        <v>0.2363634</v>
      </c>
      <c r="X139" s="40">
        <f t="shared" si="71"/>
        <v>0.611797329566475</v>
      </c>
      <c r="Y139" s="40">
        <f t="shared" si="72"/>
        <v>0.468100015611328</v>
      </c>
      <c r="Z139" s="43"/>
      <c r="AA139" s="43"/>
      <c r="AB139" s="47">
        <f>VLOOKUP(B139,[2]查询时间段分门店销售汇总!$D$3:$L$145,9,0)</f>
        <v>16394.11</v>
      </c>
      <c r="AC139" s="47">
        <f>VLOOKUP(B139,[2]查询时间段分门店销售汇总!$D$3:$M$145,10,0)</f>
        <v>3418.07</v>
      </c>
      <c r="AD139" s="48">
        <f t="shared" si="73"/>
        <v>23786.4</v>
      </c>
      <c r="AE139" s="48">
        <f t="shared" si="74"/>
        <v>7027.7929722</v>
      </c>
      <c r="AF139" s="49">
        <v>5946.6</v>
      </c>
      <c r="AG139" s="49">
        <v>1756.94824305</v>
      </c>
      <c r="AH139" s="53">
        <f t="shared" si="75"/>
        <v>0.29545425</v>
      </c>
      <c r="AI139" s="53">
        <f t="shared" si="76"/>
        <v>0.689221992399018</v>
      </c>
      <c r="AJ139" s="53">
        <f t="shared" si="77"/>
        <v>0.486364640153877</v>
      </c>
      <c r="AK139" s="48"/>
      <c r="AL139" s="48">
        <f t="shared" si="78"/>
        <v>29733</v>
      </c>
      <c r="AM139" s="48">
        <f t="shared" si="79"/>
        <v>8081.96191803</v>
      </c>
      <c r="AN139" s="54">
        <f t="shared" si="80"/>
        <v>0.551377593919214</v>
      </c>
      <c r="AO139" s="54">
        <f t="shared" si="81"/>
        <v>0.42292577404685</v>
      </c>
      <c r="AP139" s="49"/>
      <c r="AQ139" s="49">
        <v>7433.25</v>
      </c>
      <c r="AR139" s="49">
        <v>2020.4904795075</v>
      </c>
      <c r="AS139" s="53">
        <f t="shared" si="82"/>
        <v>0.27181791</v>
      </c>
      <c r="AT139" s="125">
        <f t="shared" si="83"/>
        <v>0</v>
      </c>
      <c r="AU139" s="57">
        <v>35</v>
      </c>
      <c r="AV139" s="128">
        <f>VLOOKUP(B139,[4]门店奖励金额汇总!$A:$D,4,0)</f>
        <v>40</v>
      </c>
      <c r="AW139" s="76">
        <f>AV139*4</f>
        <v>160</v>
      </c>
    </row>
    <row r="140" spans="1:48">
      <c r="A140" s="23">
        <v>138</v>
      </c>
      <c r="B140" s="24">
        <v>117923</v>
      </c>
      <c r="C140" s="24" t="s">
        <v>181</v>
      </c>
      <c r="D140" s="24" t="s">
        <v>166</v>
      </c>
      <c r="E140" s="123">
        <f>VLOOKUP(B140,[3]正式员工人数!$A:$C,3,0)</f>
        <v>3</v>
      </c>
      <c r="F140" s="27">
        <v>8</v>
      </c>
      <c r="G140" s="27">
        <v>100</v>
      </c>
      <c r="H140" s="28">
        <f>VLOOKUP(B140,[1]查询时间段分门店销售汇总!$D$3:$L$145,9,0)</f>
        <v>16126.33</v>
      </c>
      <c r="I140" s="28">
        <f>VLOOKUP(B140,[1]查询时间段分门店销售汇总!$D$3:$M$145,10,0)</f>
        <v>3586.44</v>
      </c>
      <c r="J140" s="32">
        <f t="shared" si="63"/>
        <v>22260</v>
      </c>
      <c r="K140" s="32">
        <f t="shared" si="64"/>
        <v>5375.52288</v>
      </c>
      <c r="L140" s="38">
        <v>7420</v>
      </c>
      <c r="M140" s="39">
        <v>1791.84096</v>
      </c>
      <c r="N140" s="40">
        <f t="shared" si="65"/>
        <v>0.241488</v>
      </c>
      <c r="O140" s="40">
        <f t="shared" si="66"/>
        <v>0.724453279424978</v>
      </c>
      <c r="P140" s="40">
        <f t="shared" si="67"/>
        <v>0.667179747916913</v>
      </c>
      <c r="Q140" s="43"/>
      <c r="R140" s="43"/>
      <c r="S140" s="43">
        <f t="shared" si="68"/>
        <v>24486</v>
      </c>
      <c r="T140" s="43">
        <f t="shared" si="69"/>
        <v>5321.7676512</v>
      </c>
      <c r="U140" s="38">
        <v>8162</v>
      </c>
      <c r="V140" s="39">
        <v>1773.9225504</v>
      </c>
      <c r="W140" s="40">
        <f t="shared" si="70"/>
        <v>0.2173392</v>
      </c>
      <c r="X140" s="40">
        <f t="shared" si="71"/>
        <v>0.658593890386343</v>
      </c>
      <c r="Y140" s="40">
        <f t="shared" si="72"/>
        <v>0.673918937289811</v>
      </c>
      <c r="Z140" s="43"/>
      <c r="AA140" s="43"/>
      <c r="AB140" s="47">
        <f>VLOOKUP(B140,[2]查询时间段分门店销售汇总!$D$3:$L$145,9,0)</f>
        <v>18677.11</v>
      </c>
      <c r="AC140" s="47">
        <f>VLOOKUP(B140,[2]查询时间段分门店销售汇总!$D$3:$M$145,10,0)</f>
        <v>4359.23</v>
      </c>
      <c r="AD140" s="48">
        <f t="shared" si="73"/>
        <v>19588.8</v>
      </c>
      <c r="AE140" s="48">
        <f t="shared" si="74"/>
        <v>5321.7676512</v>
      </c>
      <c r="AF140" s="49">
        <v>4897.2</v>
      </c>
      <c r="AG140" s="49">
        <v>1330.4419128</v>
      </c>
      <c r="AH140" s="53">
        <f t="shared" si="75"/>
        <v>0.271674</v>
      </c>
      <c r="AI140" s="53">
        <f t="shared" si="76"/>
        <v>0.953458609001062</v>
      </c>
      <c r="AJ140" s="53">
        <f t="shared" si="77"/>
        <v>0.819131966240022</v>
      </c>
      <c r="AK140" s="48"/>
      <c r="AL140" s="48">
        <f t="shared" si="78"/>
        <v>24486</v>
      </c>
      <c r="AM140" s="48">
        <f t="shared" si="79"/>
        <v>6120.03279888</v>
      </c>
      <c r="AN140" s="54">
        <f t="shared" si="80"/>
        <v>0.76276688720085</v>
      </c>
      <c r="AO140" s="54">
        <f t="shared" si="81"/>
        <v>0.712288666295671</v>
      </c>
      <c r="AP140" s="49"/>
      <c r="AQ140" s="49">
        <v>6121.5</v>
      </c>
      <c r="AR140" s="49">
        <v>1530.00819972</v>
      </c>
      <c r="AS140" s="53">
        <f t="shared" si="82"/>
        <v>0.24994008</v>
      </c>
      <c r="AT140" s="125">
        <f t="shared" si="83"/>
        <v>0</v>
      </c>
      <c r="AU140" s="57">
        <v>35</v>
      </c>
      <c r="AV140" s="118">
        <f>VLOOKUP(B140,[4]门店奖励金额汇总!$A:$D,4,0)</f>
        <v>32</v>
      </c>
    </row>
    <row r="141" spans="1:48">
      <c r="A141" s="23">
        <v>139</v>
      </c>
      <c r="B141" s="24">
        <v>117637</v>
      </c>
      <c r="C141" s="24" t="s">
        <v>182</v>
      </c>
      <c r="D141" s="24" t="s">
        <v>166</v>
      </c>
      <c r="E141" s="123">
        <f>VLOOKUP(B141,[3]正式员工人数!$A:$C,3,0)</f>
        <v>1</v>
      </c>
      <c r="F141" s="27">
        <v>8</v>
      </c>
      <c r="G141" s="27">
        <v>100</v>
      </c>
      <c r="H141" s="28">
        <f>VLOOKUP(B141,[1]查询时间段分门店销售汇总!$D$3:$L$145,9,0)</f>
        <v>15838.03</v>
      </c>
      <c r="I141" s="28">
        <f>VLOOKUP(B141,[1]查询时间段分门店销售汇总!$D$3:$M$145,10,0)</f>
        <v>3256.47</v>
      </c>
      <c r="J141" s="32">
        <f t="shared" si="63"/>
        <v>22260</v>
      </c>
      <c r="K141" s="32">
        <f t="shared" si="64"/>
        <v>5184.53208</v>
      </c>
      <c r="L141" s="38">
        <v>7420</v>
      </c>
      <c r="M141" s="39">
        <v>1728.17736</v>
      </c>
      <c r="N141" s="40">
        <f t="shared" si="65"/>
        <v>0.232908</v>
      </c>
      <c r="O141" s="40">
        <f t="shared" si="66"/>
        <v>0.711501796945193</v>
      </c>
      <c r="P141" s="40">
        <f t="shared" si="67"/>
        <v>0.628112614552479</v>
      </c>
      <c r="Q141" s="43"/>
      <c r="R141" s="43"/>
      <c r="S141" s="43">
        <f t="shared" si="68"/>
        <v>24486</v>
      </c>
      <c r="T141" s="43">
        <f t="shared" si="69"/>
        <v>5132.6867592</v>
      </c>
      <c r="U141" s="38">
        <v>8162</v>
      </c>
      <c r="V141" s="39">
        <v>1710.8955864</v>
      </c>
      <c r="W141" s="40">
        <f t="shared" si="70"/>
        <v>0.2096172</v>
      </c>
      <c r="X141" s="40">
        <f t="shared" si="71"/>
        <v>0.646819815404721</v>
      </c>
      <c r="Y141" s="40">
        <f t="shared" si="72"/>
        <v>0.634457186416645</v>
      </c>
      <c r="Z141" s="43"/>
      <c r="AA141" s="43"/>
      <c r="AB141" s="47">
        <f>VLOOKUP(B141,[2]查询时间段分门店销售汇总!$D$3:$L$145,9,0)</f>
        <v>11216.58</v>
      </c>
      <c r="AC141" s="47">
        <f>VLOOKUP(B141,[2]查询时间段分门店销售汇总!$D$3:$M$145,10,0)</f>
        <v>3016.82</v>
      </c>
      <c r="AD141" s="48">
        <f t="shared" si="73"/>
        <v>19588.8</v>
      </c>
      <c r="AE141" s="48">
        <f t="shared" si="74"/>
        <v>5132.6867592</v>
      </c>
      <c r="AF141" s="49">
        <v>4897.2</v>
      </c>
      <c r="AG141" s="49">
        <v>1283.1716898</v>
      </c>
      <c r="AH141" s="53">
        <f t="shared" si="75"/>
        <v>0.2620215</v>
      </c>
      <c r="AI141" s="53">
        <f t="shared" si="76"/>
        <v>0.572601690762068</v>
      </c>
      <c r="AJ141" s="53">
        <f t="shared" si="77"/>
        <v>0.587766240476793</v>
      </c>
      <c r="AK141" s="48"/>
      <c r="AL141" s="48">
        <f t="shared" si="78"/>
        <v>24486</v>
      </c>
      <c r="AM141" s="48">
        <f t="shared" si="79"/>
        <v>5902.58977308</v>
      </c>
      <c r="AN141" s="54">
        <f t="shared" si="80"/>
        <v>0.458081352609654</v>
      </c>
      <c r="AO141" s="54">
        <f t="shared" si="81"/>
        <v>0.511101078675472</v>
      </c>
      <c r="AP141" s="49"/>
      <c r="AQ141" s="49">
        <v>6121.5</v>
      </c>
      <c r="AR141" s="49">
        <v>1475.64744327</v>
      </c>
      <c r="AS141" s="53">
        <f t="shared" si="82"/>
        <v>0.24105978</v>
      </c>
      <c r="AT141" s="125">
        <f t="shared" si="83"/>
        <v>0</v>
      </c>
      <c r="AU141" s="57">
        <v>35</v>
      </c>
      <c r="AV141" s="118">
        <f>VLOOKUP(B141,[4]门店奖励金额汇总!$A:$D,4,0)</f>
        <v>20</v>
      </c>
    </row>
    <row r="142" spans="1:49">
      <c r="A142" s="23">
        <v>140</v>
      </c>
      <c r="B142" s="24">
        <v>123007</v>
      </c>
      <c r="C142" s="24" t="s">
        <v>183</v>
      </c>
      <c r="D142" s="24" t="s">
        <v>166</v>
      </c>
      <c r="E142" s="123">
        <f>VLOOKUP(B142,[3]正式员工人数!$A:$C,3,0)</f>
        <v>1</v>
      </c>
      <c r="F142" s="27">
        <v>9</v>
      </c>
      <c r="G142" s="27">
        <v>50</v>
      </c>
      <c r="H142" s="28">
        <f>VLOOKUP(B142,[1]查询时间段分门店销售汇总!$D$3:$L$145,9,0)</f>
        <v>16711.25</v>
      </c>
      <c r="I142" s="28">
        <f>VLOOKUP(B142,[1]查询时间段分门店销售汇总!$D$3:$M$145,10,0)</f>
        <v>3428.19</v>
      </c>
      <c r="J142" s="32">
        <f t="shared" si="63"/>
        <v>19080</v>
      </c>
      <c r="K142" s="32">
        <f t="shared" si="64"/>
        <v>4464.72</v>
      </c>
      <c r="L142" s="38">
        <v>6360</v>
      </c>
      <c r="M142" s="39">
        <v>1488.24</v>
      </c>
      <c r="N142" s="40">
        <f t="shared" si="65"/>
        <v>0.234</v>
      </c>
      <c r="O142" s="40">
        <f t="shared" si="66"/>
        <v>0.875851677148847</v>
      </c>
      <c r="P142" s="40">
        <f t="shared" si="67"/>
        <v>0.767839864537978</v>
      </c>
      <c r="Q142" s="43"/>
      <c r="R142" s="43"/>
      <c r="S142" s="43">
        <f t="shared" si="68"/>
        <v>20988</v>
      </c>
      <c r="T142" s="43">
        <f t="shared" si="69"/>
        <v>4420.0728</v>
      </c>
      <c r="U142" s="38">
        <v>6996</v>
      </c>
      <c r="V142" s="39">
        <v>1473.3576</v>
      </c>
      <c r="W142" s="40">
        <f t="shared" si="70"/>
        <v>0.2106</v>
      </c>
      <c r="X142" s="40">
        <f t="shared" si="71"/>
        <v>0.796228797408043</v>
      </c>
      <c r="Y142" s="40">
        <f t="shared" si="72"/>
        <v>0.775595822765634</v>
      </c>
      <c r="Z142" s="43"/>
      <c r="AA142" s="43"/>
      <c r="AB142" s="47">
        <f>VLOOKUP(B142,[2]查询时间段分门店销售汇总!$D$3:$L$145,9,0)</f>
        <v>11859.31</v>
      </c>
      <c r="AC142" s="47">
        <f>VLOOKUP(B142,[2]查询时间段分门店销售汇总!$D$3:$M$145,10,0)</f>
        <v>2758.2</v>
      </c>
      <c r="AD142" s="48">
        <f t="shared" si="73"/>
        <v>16790.4</v>
      </c>
      <c r="AE142" s="48">
        <f t="shared" si="74"/>
        <v>4420.0728</v>
      </c>
      <c r="AF142" s="49">
        <v>4197.6</v>
      </c>
      <c r="AG142" s="49">
        <v>1105.0182</v>
      </c>
      <c r="AH142" s="53">
        <f t="shared" si="75"/>
        <v>0.26325</v>
      </c>
      <c r="AI142" s="53">
        <f t="shared" si="76"/>
        <v>0.706314918048409</v>
      </c>
      <c r="AJ142" s="53">
        <f t="shared" si="77"/>
        <v>0.624016871396326</v>
      </c>
      <c r="AK142" s="48"/>
      <c r="AL142" s="48">
        <f t="shared" si="78"/>
        <v>20988</v>
      </c>
      <c r="AM142" s="48">
        <f t="shared" si="79"/>
        <v>5083.08372</v>
      </c>
      <c r="AN142" s="54">
        <f t="shared" si="80"/>
        <v>0.565051934438727</v>
      </c>
      <c r="AO142" s="54">
        <f t="shared" si="81"/>
        <v>0.542623366431588</v>
      </c>
      <c r="AP142" s="49"/>
      <c r="AQ142" s="49">
        <v>5247</v>
      </c>
      <c r="AR142" s="49">
        <v>1270.77093</v>
      </c>
      <c r="AS142" s="53">
        <f t="shared" si="82"/>
        <v>0.24219</v>
      </c>
      <c r="AT142" s="125">
        <f t="shared" si="83"/>
        <v>0</v>
      </c>
      <c r="AU142" s="57">
        <v>35</v>
      </c>
      <c r="AV142" s="128">
        <f>VLOOKUP(B142,[4]门店奖励金额汇总!$A:$D,4,0)</f>
        <v>38</v>
      </c>
      <c r="AW142" s="76">
        <f>AV142*4</f>
        <v>152</v>
      </c>
    </row>
    <row r="143" spans="1:49">
      <c r="A143" s="23">
        <v>141</v>
      </c>
      <c r="B143" s="24">
        <v>591</v>
      </c>
      <c r="C143" s="24" t="s">
        <v>184</v>
      </c>
      <c r="D143" s="24" t="s">
        <v>166</v>
      </c>
      <c r="E143" s="123">
        <f>VLOOKUP(B143,[3]正式员工人数!$A:$C,3,0)</f>
        <v>1</v>
      </c>
      <c r="F143" s="27">
        <v>9</v>
      </c>
      <c r="G143" s="27">
        <v>50</v>
      </c>
      <c r="H143" s="28">
        <f>VLOOKUP(B143,[1]查询时间段分门店销售汇总!$D$3:$L$145,9,0)</f>
        <v>11403.79</v>
      </c>
      <c r="I143" s="28">
        <f>VLOOKUP(B143,[1]查询时间段分门店销售汇总!$D$3:$M$145,10,0)</f>
        <v>2027.2</v>
      </c>
      <c r="J143" s="32">
        <f t="shared" si="63"/>
        <v>13500</v>
      </c>
      <c r="K143" s="32">
        <f t="shared" si="64"/>
        <v>2985.255</v>
      </c>
      <c r="L143" s="38">
        <v>4500</v>
      </c>
      <c r="M143" s="39">
        <v>995.085</v>
      </c>
      <c r="N143" s="40">
        <f t="shared" si="65"/>
        <v>0.22113</v>
      </c>
      <c r="O143" s="40">
        <f t="shared" si="66"/>
        <v>0.844725185185185</v>
      </c>
      <c r="P143" s="40">
        <f t="shared" si="67"/>
        <v>0.679070967136811</v>
      </c>
      <c r="Q143" s="43"/>
      <c r="R143" s="43"/>
      <c r="S143" s="43">
        <f t="shared" si="68"/>
        <v>14850</v>
      </c>
      <c r="T143" s="43">
        <f t="shared" si="69"/>
        <v>2955.40245</v>
      </c>
      <c r="U143" s="38">
        <v>4950</v>
      </c>
      <c r="V143" s="39">
        <v>985.13415</v>
      </c>
      <c r="W143" s="40">
        <f t="shared" si="70"/>
        <v>0.199017</v>
      </c>
      <c r="X143" s="40">
        <f t="shared" si="71"/>
        <v>0.767931986531987</v>
      </c>
      <c r="Y143" s="40">
        <f t="shared" si="72"/>
        <v>0.685930269835162</v>
      </c>
      <c r="Z143" s="43"/>
      <c r="AA143" s="43"/>
      <c r="AB143" s="47">
        <f>VLOOKUP(B143,[2]查询时间段分门店销售汇总!$D$3:$L$145,9,0)</f>
        <v>8102.15</v>
      </c>
      <c r="AC143" s="47">
        <f>VLOOKUP(B143,[2]查询时间段分门店销售汇总!$D$3:$M$145,10,0)</f>
        <v>1811.46</v>
      </c>
      <c r="AD143" s="48">
        <f t="shared" si="73"/>
        <v>11880</v>
      </c>
      <c r="AE143" s="48">
        <f t="shared" si="74"/>
        <v>2955.40245</v>
      </c>
      <c r="AF143" s="49">
        <v>2970</v>
      </c>
      <c r="AG143" s="49">
        <v>738.8506125</v>
      </c>
      <c r="AH143" s="53">
        <f t="shared" si="75"/>
        <v>0.24877125</v>
      </c>
      <c r="AI143" s="53">
        <f t="shared" si="76"/>
        <v>0.681999158249158</v>
      </c>
      <c r="AJ143" s="53">
        <f t="shared" si="77"/>
        <v>0.612931751477705</v>
      </c>
      <c r="AK143" s="48"/>
      <c r="AL143" s="48">
        <f t="shared" si="78"/>
        <v>14850</v>
      </c>
      <c r="AM143" s="48">
        <f t="shared" si="79"/>
        <v>3398.7128175</v>
      </c>
      <c r="AN143" s="54">
        <f t="shared" si="80"/>
        <v>0.545599326599327</v>
      </c>
      <c r="AO143" s="54">
        <f t="shared" si="81"/>
        <v>0.532984131719743</v>
      </c>
      <c r="AP143" s="49"/>
      <c r="AQ143" s="49">
        <v>3712.5</v>
      </c>
      <c r="AR143" s="49">
        <v>849.678204375</v>
      </c>
      <c r="AS143" s="53">
        <f t="shared" si="82"/>
        <v>0.22886955</v>
      </c>
      <c r="AT143" s="125">
        <f t="shared" si="83"/>
        <v>0</v>
      </c>
      <c r="AU143" s="57">
        <v>35</v>
      </c>
      <c r="AV143" s="128">
        <f>VLOOKUP(B143,[4]门店奖励金额汇总!$A:$D,4,0)</f>
        <v>36</v>
      </c>
      <c r="AW143" s="76">
        <f>AV143*4</f>
        <v>144</v>
      </c>
    </row>
    <row r="144" spans="1:48">
      <c r="A144" s="23">
        <v>142</v>
      </c>
      <c r="B144" s="24">
        <v>122686</v>
      </c>
      <c r="C144" s="24" t="s">
        <v>185</v>
      </c>
      <c r="D144" s="24" t="s">
        <v>166</v>
      </c>
      <c r="E144" s="123">
        <f>VLOOKUP(B144,[3]正式员工人数!$A:$C,3,0)</f>
        <v>2</v>
      </c>
      <c r="F144" s="27">
        <v>10</v>
      </c>
      <c r="G144" s="27">
        <v>50</v>
      </c>
      <c r="H144" s="28">
        <f>VLOOKUP(B144,[1]查询时间段分门店销售汇总!$D$3:$L$145,9,0)</f>
        <v>8038.88</v>
      </c>
      <c r="I144" s="28">
        <f>VLOOKUP(B144,[1]查询时间段分门店销售汇总!$D$3:$M$145,10,0)</f>
        <v>1890.59</v>
      </c>
      <c r="J144" s="32">
        <f t="shared" si="63"/>
        <v>13500</v>
      </c>
      <c r="K144" s="32">
        <f t="shared" si="64"/>
        <v>3053.7</v>
      </c>
      <c r="L144" s="38">
        <v>4500</v>
      </c>
      <c r="M144" s="39">
        <v>1017.9</v>
      </c>
      <c r="N144" s="40">
        <f t="shared" si="65"/>
        <v>0.2262</v>
      </c>
      <c r="O144" s="40">
        <f t="shared" si="66"/>
        <v>0.595472592592593</v>
      </c>
      <c r="P144" s="40">
        <f t="shared" si="67"/>
        <v>0.619114516815666</v>
      </c>
      <c r="Q144" s="43"/>
      <c r="R144" s="43"/>
      <c r="S144" s="43">
        <f t="shared" si="68"/>
        <v>14850</v>
      </c>
      <c r="T144" s="43">
        <f t="shared" si="69"/>
        <v>3023.163</v>
      </c>
      <c r="U144" s="38">
        <v>4950</v>
      </c>
      <c r="V144" s="39">
        <v>1007.721</v>
      </c>
      <c r="W144" s="40">
        <f t="shared" si="70"/>
        <v>0.20358</v>
      </c>
      <c r="X144" s="40">
        <f t="shared" si="71"/>
        <v>0.541338720538721</v>
      </c>
      <c r="Y144" s="40">
        <f t="shared" si="72"/>
        <v>0.625368198803703</v>
      </c>
      <c r="Z144" s="43"/>
      <c r="AA144" s="43"/>
      <c r="AB144" s="47">
        <f>VLOOKUP(B144,[2]查询时间段分门店销售汇总!$D$3:$L$145,9,0)</f>
        <v>8595.9</v>
      </c>
      <c r="AC144" s="47">
        <f>VLOOKUP(B144,[2]查询时间段分门店销售汇总!$D$3:$M$145,10,0)</f>
        <v>2027.45</v>
      </c>
      <c r="AD144" s="48">
        <f t="shared" si="73"/>
        <v>11880</v>
      </c>
      <c r="AE144" s="48">
        <f t="shared" si="74"/>
        <v>3023.163</v>
      </c>
      <c r="AF144" s="49">
        <v>2970</v>
      </c>
      <c r="AG144" s="49">
        <v>755.79075</v>
      </c>
      <c r="AH144" s="53">
        <f t="shared" si="75"/>
        <v>0.254475</v>
      </c>
      <c r="AI144" s="53">
        <f t="shared" si="76"/>
        <v>0.723560606060606</v>
      </c>
      <c r="AJ144" s="53">
        <f t="shared" si="77"/>
        <v>0.670638665530109</v>
      </c>
      <c r="AK144" s="48"/>
      <c r="AL144" s="48">
        <f t="shared" si="78"/>
        <v>14850</v>
      </c>
      <c r="AM144" s="48">
        <f t="shared" si="79"/>
        <v>3476.63745</v>
      </c>
      <c r="AN144" s="54">
        <f t="shared" si="80"/>
        <v>0.578848484848485</v>
      </c>
      <c r="AO144" s="54">
        <f t="shared" si="81"/>
        <v>0.583164056982703</v>
      </c>
      <c r="AP144" s="49"/>
      <c r="AQ144" s="49">
        <v>3712.5</v>
      </c>
      <c r="AR144" s="49">
        <v>869.1593625</v>
      </c>
      <c r="AS144" s="53">
        <f t="shared" si="82"/>
        <v>0.234117</v>
      </c>
      <c r="AT144" s="125">
        <f t="shared" si="83"/>
        <v>0</v>
      </c>
      <c r="AU144" s="57">
        <v>35</v>
      </c>
      <c r="AV144" s="118">
        <f>VLOOKUP(B144,[4]门店奖励金额汇总!$A:$D,4,0)</f>
        <v>10</v>
      </c>
    </row>
    <row r="145" spans="1:49">
      <c r="A145" s="23">
        <v>143</v>
      </c>
      <c r="B145" s="24">
        <v>122718</v>
      </c>
      <c r="C145" s="24" t="s">
        <v>186</v>
      </c>
      <c r="D145" s="24" t="s">
        <v>166</v>
      </c>
      <c r="E145" s="123">
        <f>VLOOKUP(B145,[3]正式员工人数!$A:$C,3,0)</f>
        <v>1</v>
      </c>
      <c r="F145" s="27">
        <v>10</v>
      </c>
      <c r="G145" s="27">
        <v>50</v>
      </c>
      <c r="H145" s="28">
        <f>VLOOKUP(B145,[1]查询时间段分门店销售汇总!$D$3:$L$145,9,0)</f>
        <v>7929.32</v>
      </c>
      <c r="I145" s="28">
        <f>VLOOKUP(B145,[1]查询时间段分门店销售汇总!$D$3:$M$145,10,0)</f>
        <v>1029.91</v>
      </c>
      <c r="J145" s="32">
        <f t="shared" si="63"/>
        <v>13500</v>
      </c>
      <c r="K145" s="32">
        <f t="shared" si="64"/>
        <v>2737.8</v>
      </c>
      <c r="L145" s="38">
        <v>4500</v>
      </c>
      <c r="M145" s="39">
        <v>912.6</v>
      </c>
      <c r="N145" s="40">
        <f t="shared" si="65"/>
        <v>0.2028</v>
      </c>
      <c r="O145" s="40">
        <f t="shared" si="66"/>
        <v>0.587357037037037</v>
      </c>
      <c r="P145" s="40">
        <f t="shared" si="67"/>
        <v>0.376181605668785</v>
      </c>
      <c r="Q145" s="43"/>
      <c r="R145" s="43"/>
      <c r="S145" s="43">
        <f t="shared" si="68"/>
        <v>14850</v>
      </c>
      <c r="T145" s="43">
        <f t="shared" si="69"/>
        <v>2710.422</v>
      </c>
      <c r="U145" s="38">
        <v>4950</v>
      </c>
      <c r="V145" s="39">
        <v>903.474</v>
      </c>
      <c r="W145" s="40">
        <f t="shared" si="70"/>
        <v>0.18252</v>
      </c>
      <c r="X145" s="40">
        <f t="shared" si="71"/>
        <v>0.533960942760943</v>
      </c>
      <c r="Y145" s="40">
        <f t="shared" si="72"/>
        <v>0.37998141986746</v>
      </c>
      <c r="Z145" s="43"/>
      <c r="AA145" s="43"/>
      <c r="AB145" s="47">
        <f>VLOOKUP(B145,[2]查询时间段分门店销售汇总!$D$3:$L$145,9,0)</f>
        <v>14341.3</v>
      </c>
      <c r="AC145" s="47">
        <f>VLOOKUP(B145,[2]查询时间段分门店销售汇总!$D$3:$M$145,10,0)</f>
        <v>2541.51</v>
      </c>
      <c r="AD145" s="48">
        <f t="shared" si="73"/>
        <v>11880</v>
      </c>
      <c r="AE145" s="48">
        <f t="shared" si="74"/>
        <v>2710.422</v>
      </c>
      <c r="AF145" s="49">
        <v>2970</v>
      </c>
      <c r="AG145" s="49">
        <v>677.6055</v>
      </c>
      <c r="AH145" s="53">
        <f t="shared" si="75"/>
        <v>0.22815</v>
      </c>
      <c r="AI145" s="53">
        <f t="shared" si="76"/>
        <v>1.20718013468013</v>
      </c>
      <c r="AJ145" s="53">
        <f t="shared" si="77"/>
        <v>0.937680553065169</v>
      </c>
      <c r="AK145" s="48"/>
      <c r="AL145" s="48">
        <f t="shared" si="78"/>
        <v>14850</v>
      </c>
      <c r="AM145" s="48">
        <f t="shared" si="79"/>
        <v>3116.9853</v>
      </c>
      <c r="AN145" s="54">
        <f t="shared" si="80"/>
        <v>0.965744107744108</v>
      </c>
      <c r="AO145" s="54">
        <f t="shared" si="81"/>
        <v>0.815374393969712</v>
      </c>
      <c r="AP145" s="49"/>
      <c r="AQ145" s="49">
        <v>3712.5</v>
      </c>
      <c r="AR145" s="49">
        <v>779.246325</v>
      </c>
      <c r="AS145" s="53">
        <f t="shared" si="82"/>
        <v>0.209898</v>
      </c>
      <c r="AT145" s="125">
        <f t="shared" si="83"/>
        <v>0</v>
      </c>
      <c r="AU145" s="57">
        <v>30</v>
      </c>
      <c r="AV145" s="128">
        <f>VLOOKUP(B145,[4]门店奖励金额汇总!$A:$D,4,0)</f>
        <v>50</v>
      </c>
      <c r="AW145" s="76">
        <f>AV145*4</f>
        <v>200</v>
      </c>
    </row>
    <row r="146" spans="2:49">
      <c r="B146" s="24" t="s">
        <v>187</v>
      </c>
      <c r="E146" s="123"/>
      <c r="F146" s="61"/>
      <c r="G146" s="62">
        <f>SUM(G3:G145)</f>
        <v>16450</v>
      </c>
      <c r="H146" s="28">
        <f>SUM(H3:H145)</f>
        <v>6093895.2</v>
      </c>
      <c r="I146" s="28">
        <f>SUM(I3:I145)</f>
        <v>1211692.6</v>
      </c>
      <c r="J146" s="32">
        <f t="shared" si="63"/>
        <v>6613320</v>
      </c>
      <c r="K146" s="32">
        <f t="shared" si="64"/>
        <v>1473960.19296</v>
      </c>
      <c r="L146" s="131">
        <f>SUM(L3:L145)</f>
        <v>2204440</v>
      </c>
      <c r="M146" s="132">
        <f>SUM(M3:M145)</f>
        <v>491320.06432</v>
      </c>
      <c r="N146" s="40">
        <f t="shared" si="65"/>
        <v>0.222877494656239</v>
      </c>
      <c r="O146" s="40">
        <f t="shared" si="66"/>
        <v>0.921457785197148</v>
      </c>
      <c r="P146" s="40">
        <f t="shared" si="67"/>
        <v>0.822066027147371</v>
      </c>
      <c r="Q146" s="133">
        <f ca="1">SUM(Q3:Q146)</f>
        <v>4480</v>
      </c>
      <c r="R146" s="133">
        <f>SUM(R3:R145)</f>
        <v>3736.1395</v>
      </c>
      <c r="S146" s="43">
        <f t="shared" si="68"/>
        <v>7274652</v>
      </c>
      <c r="T146" s="43">
        <f t="shared" si="69"/>
        <v>1459220.5910304</v>
      </c>
      <c r="U146" s="38">
        <f>SUM(U3:U145)</f>
        <v>2424884</v>
      </c>
      <c r="V146" s="39">
        <f>SUM(V3:V145)</f>
        <v>486406.8636768</v>
      </c>
      <c r="W146" s="40">
        <f t="shared" si="70"/>
        <v>0.200589745190615</v>
      </c>
      <c r="X146" s="40">
        <f t="shared" si="71"/>
        <v>0.837688895633771</v>
      </c>
      <c r="Y146" s="40">
        <f t="shared" si="72"/>
        <v>0.830369724391284</v>
      </c>
      <c r="Z146" s="135">
        <f>SUM(Z3:Z145)</f>
        <v>10650</v>
      </c>
      <c r="AA146" s="135">
        <f>(SUM(AA3:AA145))</f>
        <v>18074.428542</v>
      </c>
      <c r="AB146" s="47">
        <f>SUM(AB3:AB145)</f>
        <v>5064488.44</v>
      </c>
      <c r="AC146" s="47">
        <f>SUM(AC3:AC145)</f>
        <v>1105915.5</v>
      </c>
      <c r="AD146" s="48">
        <f t="shared" si="73"/>
        <v>5819721.6</v>
      </c>
      <c r="AE146" s="48">
        <f t="shared" si="74"/>
        <v>1459220.5910304</v>
      </c>
      <c r="AF146" s="49">
        <f>SUM(AF3:AF145)</f>
        <v>1454930.4</v>
      </c>
      <c r="AG146" s="49">
        <f>SUM(AG3:AG145)</f>
        <v>364805.1477576</v>
      </c>
      <c r="AH146" s="53">
        <f t="shared" si="75"/>
        <v>0.250737181488269</v>
      </c>
      <c r="AI146" s="53">
        <f t="shared" si="76"/>
        <v>0.870228644614203</v>
      </c>
      <c r="AJ146" s="53">
        <f t="shared" si="77"/>
        <v>0.7578809583677</v>
      </c>
      <c r="AK146" s="125">
        <f>SUM(AK3:AK145)</f>
        <v>4600</v>
      </c>
      <c r="AL146" s="48">
        <f t="shared" si="78"/>
        <v>7274652</v>
      </c>
      <c r="AM146" s="48">
        <f t="shared" si="79"/>
        <v>1678103.67968496</v>
      </c>
      <c r="AN146" s="54">
        <f t="shared" si="80"/>
        <v>0.696182915691363</v>
      </c>
      <c r="AO146" s="54">
        <f t="shared" si="81"/>
        <v>0.659026920319739</v>
      </c>
      <c r="AP146" s="125">
        <f>(SUM(AP3:AP145))</f>
        <v>740.412405088</v>
      </c>
      <c r="AQ146" s="49">
        <f>SUM(AQ3:AQ145)</f>
        <v>1818663</v>
      </c>
      <c r="AR146" s="49">
        <f>SUM(AR3:AR145)</f>
        <v>419525.91992124</v>
      </c>
      <c r="AS146" s="53">
        <f t="shared" si="82"/>
        <v>0.230678206969208</v>
      </c>
      <c r="AT146" s="125">
        <f>SUM(AT3:AT145)</f>
        <v>42280.980447088</v>
      </c>
      <c r="AU146" s="57">
        <f>SUM(AU3:AU145)</f>
        <v>6500</v>
      </c>
      <c r="AV146" s="118">
        <f>SUM(AV3:AV145)</f>
        <v>7447</v>
      </c>
      <c r="AW146" s="137">
        <f>SUM(AW3:AW145)</f>
        <v>21796</v>
      </c>
    </row>
    <row r="148" spans="17:17">
      <c r="Q148" s="134"/>
    </row>
    <row r="149" spans="42:42">
      <c r="AP149" s="136">
        <v>42572.58</v>
      </c>
    </row>
  </sheetData>
  <autoFilter ref="A2:AV146">
    <extLst/>
  </autoFilter>
  <sortState ref="A2:G145">
    <sortCondition ref="D2" descending="1"/>
  </sortState>
  <mergeCells count="8">
    <mergeCell ref="A1:G1"/>
    <mergeCell ref="H1:Q1"/>
    <mergeCell ref="S1:AA1"/>
    <mergeCell ref="AB1:AJ1"/>
    <mergeCell ref="AL1:AS1"/>
    <mergeCell ref="AU1:AU2"/>
    <mergeCell ref="AV1:AV2"/>
    <mergeCell ref="AW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7"/>
  <sheetViews>
    <sheetView tabSelected="1" workbookViewId="0">
      <selection activeCell="A8" sqref="A8"/>
    </sheetView>
  </sheetViews>
  <sheetFormatPr defaultColWidth="9" defaultRowHeight="13.5" outlineLevelRow="6" outlineLevelCol="7"/>
  <cols>
    <col min="3" max="3" width="13.375" customWidth="1"/>
    <col min="7" max="7" width="25.5" customWidth="1"/>
    <col min="8" max="8" width="19.625" customWidth="1"/>
  </cols>
  <sheetData>
    <row r="1" s="116" customFormat="1" spans="1:8">
      <c r="A1" s="61" t="s">
        <v>8</v>
      </c>
      <c r="B1" s="61" t="s">
        <v>188</v>
      </c>
      <c r="C1" s="61" t="s">
        <v>189</v>
      </c>
      <c r="D1" s="61" t="s">
        <v>190</v>
      </c>
      <c r="E1" s="61" t="s">
        <v>191</v>
      </c>
      <c r="F1" s="61" t="s">
        <v>192</v>
      </c>
      <c r="G1" s="61" t="s">
        <v>193</v>
      </c>
      <c r="H1" s="117" t="s">
        <v>194</v>
      </c>
    </row>
    <row r="2" spans="1:8">
      <c r="A2">
        <v>1</v>
      </c>
      <c r="B2">
        <v>385</v>
      </c>
      <c r="C2" t="s">
        <v>195</v>
      </c>
      <c r="D2" t="s">
        <v>36</v>
      </c>
      <c r="E2">
        <v>7317</v>
      </c>
      <c r="F2" t="s">
        <v>196</v>
      </c>
      <c r="G2">
        <v>150</v>
      </c>
      <c r="H2">
        <v>137.86</v>
      </c>
    </row>
    <row r="3" spans="1:8">
      <c r="A3">
        <v>2</v>
      </c>
      <c r="B3">
        <v>385</v>
      </c>
      <c r="C3" t="s">
        <v>195</v>
      </c>
      <c r="D3" t="s">
        <v>36</v>
      </c>
      <c r="E3">
        <v>7749</v>
      </c>
      <c r="F3" t="s">
        <v>197</v>
      </c>
      <c r="G3">
        <v>150</v>
      </c>
      <c r="H3">
        <v>136</v>
      </c>
    </row>
    <row r="4" spans="1:8">
      <c r="A4">
        <v>3</v>
      </c>
      <c r="B4">
        <v>385</v>
      </c>
      <c r="C4" t="s">
        <v>195</v>
      </c>
      <c r="D4" t="s">
        <v>36</v>
      </c>
      <c r="E4">
        <v>12566</v>
      </c>
      <c r="F4" t="s">
        <v>198</v>
      </c>
      <c r="G4">
        <v>150</v>
      </c>
      <c r="H4">
        <v>136</v>
      </c>
    </row>
    <row r="5" spans="1:7">
      <c r="A5">
        <v>4</v>
      </c>
      <c r="B5">
        <v>514</v>
      </c>
      <c r="C5" t="s">
        <v>199</v>
      </c>
      <c r="D5" t="s">
        <v>36</v>
      </c>
      <c r="E5">
        <v>4330</v>
      </c>
      <c r="F5" t="s">
        <v>200</v>
      </c>
      <c r="G5">
        <v>94</v>
      </c>
    </row>
    <row r="6" spans="1:7">
      <c r="A6">
        <v>5</v>
      </c>
      <c r="B6">
        <v>514</v>
      </c>
      <c r="C6" t="s">
        <v>199</v>
      </c>
      <c r="D6" t="s">
        <v>36</v>
      </c>
      <c r="E6">
        <v>5406</v>
      </c>
      <c r="F6" t="s">
        <v>201</v>
      </c>
      <c r="G6">
        <v>94</v>
      </c>
    </row>
    <row r="7" spans="1:7">
      <c r="A7">
        <v>6</v>
      </c>
      <c r="B7">
        <v>514</v>
      </c>
      <c r="C7" t="s">
        <v>199</v>
      </c>
      <c r="D7" t="s">
        <v>36</v>
      </c>
      <c r="E7">
        <v>14827</v>
      </c>
      <c r="F7" t="s">
        <v>202</v>
      </c>
      <c r="G7">
        <v>92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M16" sqref="M16"/>
    </sheetView>
  </sheetViews>
  <sheetFormatPr defaultColWidth="9" defaultRowHeight="13.5"/>
  <cols>
    <col min="2" max="2" width="11.5"/>
    <col min="3" max="3" width="15.375" customWidth="1"/>
    <col min="4" max="4" width="12.25" customWidth="1"/>
    <col min="5" max="5" width="10.125" customWidth="1"/>
    <col min="6" max="7" width="10.625" customWidth="1"/>
    <col min="8" max="8" width="12.875" customWidth="1"/>
    <col min="9" max="9" width="10.625" customWidth="1"/>
    <col min="10" max="10" width="20.875" customWidth="1"/>
    <col min="11" max="11" width="20" customWidth="1"/>
    <col min="12" max="12" width="28" customWidth="1"/>
  </cols>
  <sheetData>
    <row r="1" ht="29" customHeight="1" spans="1:12">
      <c r="A1" s="100" t="s">
        <v>203</v>
      </c>
      <c r="B1" s="100" t="s">
        <v>190</v>
      </c>
      <c r="C1" s="100" t="s">
        <v>204</v>
      </c>
      <c r="D1" s="101" t="s">
        <v>205</v>
      </c>
      <c r="E1" s="101" t="s">
        <v>206</v>
      </c>
      <c r="F1" s="101" t="s">
        <v>207</v>
      </c>
      <c r="G1" s="100" t="s">
        <v>208</v>
      </c>
      <c r="H1" s="101" t="s">
        <v>209</v>
      </c>
      <c r="I1" s="101" t="s">
        <v>210</v>
      </c>
      <c r="J1" s="107" t="s">
        <v>211</v>
      </c>
      <c r="K1" s="107" t="s">
        <v>212</v>
      </c>
      <c r="L1" s="100" t="s">
        <v>213</v>
      </c>
    </row>
    <row r="2" ht="33" customHeight="1" spans="1:12">
      <c r="A2" s="100"/>
      <c r="B2" s="100"/>
      <c r="C2" s="100"/>
      <c r="D2" s="100" t="s">
        <v>214</v>
      </c>
      <c r="E2" s="100" t="s">
        <v>215</v>
      </c>
      <c r="F2" s="101"/>
      <c r="G2" s="100"/>
      <c r="H2" s="101"/>
      <c r="I2" s="101"/>
      <c r="J2" s="108"/>
      <c r="K2" s="108"/>
      <c r="L2" s="109" t="s">
        <v>216</v>
      </c>
    </row>
    <row r="3" ht="24" customHeight="1" spans="1:12">
      <c r="A3" s="100">
        <v>1</v>
      </c>
      <c r="B3" s="100" t="s">
        <v>139</v>
      </c>
      <c r="C3" s="102">
        <v>26</v>
      </c>
      <c r="D3" s="100" t="s">
        <v>217</v>
      </c>
      <c r="E3" s="100" t="s">
        <v>218</v>
      </c>
      <c r="F3" s="101" t="s">
        <v>219</v>
      </c>
      <c r="G3" s="103">
        <f>VLOOKUP(B3,片区完成情况!A3:D11,4,0)</f>
        <v>1414830</v>
      </c>
      <c r="H3" s="101">
        <f>VLOOKUP(B3,A16:B24,2,0)</f>
        <v>1272320.99</v>
      </c>
      <c r="I3" s="110">
        <f>H3/G3</f>
        <v>0.899274817469237</v>
      </c>
      <c r="J3" s="111"/>
      <c r="K3" s="111"/>
      <c r="L3" s="112" t="s">
        <v>220</v>
      </c>
    </row>
    <row r="4" ht="24" customHeight="1" spans="1:12">
      <c r="A4" s="100"/>
      <c r="B4" s="100" t="s">
        <v>42</v>
      </c>
      <c r="C4" s="102">
        <v>26</v>
      </c>
      <c r="D4" s="100" t="s">
        <v>217</v>
      </c>
      <c r="E4" s="100" t="s">
        <v>218</v>
      </c>
      <c r="F4" s="101" t="s">
        <v>219</v>
      </c>
      <c r="G4" s="103">
        <f>VLOOKUP(B4,片区完成情况!A4:D12,4,0)</f>
        <v>1339770</v>
      </c>
      <c r="H4" s="101">
        <f t="shared" ref="H4:H11" si="0">VLOOKUP(B4,A17:B25,2,0)</f>
        <v>1421374.44</v>
      </c>
      <c r="I4" s="113">
        <f t="shared" ref="I4:I11" si="1">H4/G4</f>
        <v>1.06090929040059</v>
      </c>
      <c r="J4" s="113" t="s">
        <v>221</v>
      </c>
      <c r="K4" s="113" t="s">
        <v>222</v>
      </c>
      <c r="L4" s="112"/>
    </row>
    <row r="5" ht="24" customHeight="1" spans="1:12">
      <c r="A5" s="100">
        <v>2</v>
      </c>
      <c r="B5" s="100" t="s">
        <v>107</v>
      </c>
      <c r="C5" s="102">
        <v>22</v>
      </c>
      <c r="D5" s="100" t="s">
        <v>223</v>
      </c>
      <c r="E5" s="100" t="s">
        <v>218</v>
      </c>
      <c r="F5" s="101" t="s">
        <v>224</v>
      </c>
      <c r="G5" s="103">
        <f>VLOOKUP(B5,片区完成情况!A5:D13,4,0)</f>
        <v>904800</v>
      </c>
      <c r="H5" s="101">
        <f t="shared" si="0"/>
        <v>807012.37</v>
      </c>
      <c r="I5" s="110">
        <f t="shared" si="1"/>
        <v>0.891923485853227</v>
      </c>
      <c r="J5" s="111" t="s">
        <v>225</v>
      </c>
      <c r="K5" s="101" t="s">
        <v>224</v>
      </c>
      <c r="L5" s="112"/>
    </row>
    <row r="6" ht="24" customHeight="1" spans="1:12">
      <c r="A6" s="100"/>
      <c r="B6" s="64" t="s">
        <v>166</v>
      </c>
      <c r="C6" s="102">
        <v>21</v>
      </c>
      <c r="D6" s="100" t="s">
        <v>226</v>
      </c>
      <c r="E6" s="100" t="s">
        <v>218</v>
      </c>
      <c r="F6" s="101" t="s">
        <v>227</v>
      </c>
      <c r="G6" s="104">
        <v>701340</v>
      </c>
      <c r="H6" s="105">
        <v>579067.39</v>
      </c>
      <c r="I6" s="110">
        <f t="shared" si="1"/>
        <v>0.825658582142755</v>
      </c>
      <c r="J6" s="111" t="s">
        <v>225</v>
      </c>
      <c r="K6" s="101" t="s">
        <v>227</v>
      </c>
      <c r="L6" s="112"/>
    </row>
    <row r="7" ht="26" customHeight="1" spans="1:12">
      <c r="A7" s="100"/>
      <c r="B7" s="100" t="s">
        <v>69</v>
      </c>
      <c r="C7" s="102">
        <v>19</v>
      </c>
      <c r="D7" s="100" t="s">
        <v>228</v>
      </c>
      <c r="E7" s="100" t="s">
        <v>218</v>
      </c>
      <c r="F7" s="101" t="s">
        <v>229</v>
      </c>
      <c r="G7" s="103">
        <f>VLOOKUP(B7,片区完成情况!A7:D15,4,0)</f>
        <v>677640</v>
      </c>
      <c r="H7" s="101">
        <f t="shared" si="0"/>
        <v>572046.05</v>
      </c>
      <c r="I7" s="110">
        <f t="shared" si="1"/>
        <v>0.844173971430258</v>
      </c>
      <c r="J7" s="111" t="s">
        <v>230</v>
      </c>
      <c r="K7" s="114">
        <v>0</v>
      </c>
      <c r="L7" s="112"/>
    </row>
    <row r="8" ht="24" customHeight="1" spans="1:12">
      <c r="A8" s="100">
        <v>3</v>
      </c>
      <c r="B8" s="64" t="s">
        <v>98</v>
      </c>
      <c r="C8" s="102">
        <v>8</v>
      </c>
      <c r="D8" s="100" t="s">
        <v>231</v>
      </c>
      <c r="E8" s="100" t="s">
        <v>232</v>
      </c>
      <c r="F8" s="101" t="s">
        <v>233</v>
      </c>
      <c r="G8" s="104">
        <v>256200</v>
      </c>
      <c r="H8" s="105">
        <v>262653.25</v>
      </c>
      <c r="I8" s="113">
        <f t="shared" si="1"/>
        <v>1.02518832943013</v>
      </c>
      <c r="J8" s="113" t="s">
        <v>234</v>
      </c>
      <c r="K8" s="115" t="s">
        <v>235</v>
      </c>
      <c r="L8" s="112"/>
    </row>
    <row r="9" ht="24" customHeight="1" spans="1:12">
      <c r="A9" s="100"/>
      <c r="B9" s="64" t="s">
        <v>130</v>
      </c>
      <c r="C9" s="102">
        <v>8</v>
      </c>
      <c r="D9" s="100" t="s">
        <v>231</v>
      </c>
      <c r="E9" s="100" t="s">
        <v>232</v>
      </c>
      <c r="F9" s="101" t="s">
        <v>233</v>
      </c>
      <c r="G9" s="104">
        <v>249540</v>
      </c>
      <c r="H9" s="105">
        <v>190584.06</v>
      </c>
      <c r="I9" s="110">
        <f t="shared" si="1"/>
        <v>0.763741524404905</v>
      </c>
      <c r="J9" s="111"/>
      <c r="K9" s="111"/>
      <c r="L9" s="112"/>
    </row>
    <row r="10" ht="24" customHeight="1" spans="1:12">
      <c r="A10" s="100">
        <v>4</v>
      </c>
      <c r="B10" s="64" t="s">
        <v>36</v>
      </c>
      <c r="C10" s="102">
        <v>5</v>
      </c>
      <c r="D10" s="100" t="s">
        <v>236</v>
      </c>
      <c r="E10" s="100" t="s">
        <v>232</v>
      </c>
      <c r="F10" s="101" t="s">
        <v>237</v>
      </c>
      <c r="G10" s="103">
        <f>VLOOKUP(B10,片区完成情况!A10:D18,4,0)</f>
        <v>259590</v>
      </c>
      <c r="H10" s="101">
        <f t="shared" si="0"/>
        <v>242644.01</v>
      </c>
      <c r="I10" s="110">
        <f t="shared" si="1"/>
        <v>0.934720174120729</v>
      </c>
      <c r="J10" s="111" t="s">
        <v>225</v>
      </c>
      <c r="K10" s="101" t="s">
        <v>237</v>
      </c>
      <c r="L10" s="112"/>
    </row>
    <row r="11" ht="24" customHeight="1" spans="1:12">
      <c r="A11" s="100"/>
      <c r="B11" s="64" t="s">
        <v>89</v>
      </c>
      <c r="C11" s="102">
        <v>8</v>
      </c>
      <c r="D11" s="100" t="s">
        <v>231</v>
      </c>
      <c r="E11" s="100" t="s">
        <v>232</v>
      </c>
      <c r="F11" s="101" t="s">
        <v>233</v>
      </c>
      <c r="G11" s="104">
        <v>809610</v>
      </c>
      <c r="H11" s="105">
        <v>747854.45</v>
      </c>
      <c r="I11" s="110">
        <f t="shared" si="1"/>
        <v>0.923721853732044</v>
      </c>
      <c r="J11" s="111" t="s">
        <v>225</v>
      </c>
      <c r="K11" s="101" t="s">
        <v>233</v>
      </c>
      <c r="L11" s="112"/>
    </row>
    <row r="14" spans="1:6">
      <c r="A14" s="64"/>
      <c r="B14" s="64" t="s">
        <v>238</v>
      </c>
      <c r="C14" s="64"/>
      <c r="D14" s="64" t="s">
        <v>239</v>
      </c>
      <c r="E14" s="64"/>
      <c r="F14" s="64"/>
    </row>
    <row r="15" spans="1:6">
      <c r="A15" s="64" t="s">
        <v>11</v>
      </c>
      <c r="B15" s="64" t="s">
        <v>19</v>
      </c>
      <c r="C15" s="64" t="s">
        <v>20</v>
      </c>
      <c r="D15" s="106" t="s">
        <v>240</v>
      </c>
      <c r="E15" s="106" t="s">
        <v>241</v>
      </c>
      <c r="F15" s="64" t="s">
        <v>210</v>
      </c>
    </row>
    <row r="16" spans="1:6">
      <c r="A16" s="64" t="s">
        <v>166</v>
      </c>
      <c r="B16" s="64">
        <v>579067.39</v>
      </c>
      <c r="C16" s="64">
        <v>110411.09</v>
      </c>
      <c r="D16" s="106">
        <v>701340</v>
      </c>
      <c r="E16" s="106">
        <v>165321.4797</v>
      </c>
      <c r="F16" s="74">
        <f t="shared" ref="F16:F25" si="2">B16/D16</f>
        <v>0.825658582142755</v>
      </c>
    </row>
    <row r="17" spans="1:6">
      <c r="A17" s="64" t="s">
        <v>139</v>
      </c>
      <c r="B17" s="64">
        <v>1272320.99</v>
      </c>
      <c r="C17" s="64">
        <v>237598.11</v>
      </c>
      <c r="D17" s="106">
        <v>1414830</v>
      </c>
      <c r="E17" s="106">
        <v>308327.57748</v>
      </c>
      <c r="F17" s="74">
        <f t="shared" si="2"/>
        <v>0.899274817469237</v>
      </c>
    </row>
    <row r="18" spans="1:6">
      <c r="A18" s="64" t="s">
        <v>130</v>
      </c>
      <c r="B18" s="64">
        <v>190584.06</v>
      </c>
      <c r="C18" s="64">
        <v>39958.62</v>
      </c>
      <c r="D18" s="106">
        <v>249540</v>
      </c>
      <c r="E18" s="106">
        <v>58828.41666</v>
      </c>
      <c r="F18" s="74">
        <f t="shared" si="2"/>
        <v>0.763741524404905</v>
      </c>
    </row>
    <row r="19" spans="1:6">
      <c r="A19" s="64" t="s">
        <v>107</v>
      </c>
      <c r="B19" s="64">
        <v>807012.37</v>
      </c>
      <c r="C19" s="64">
        <v>179264.3</v>
      </c>
      <c r="D19" s="106">
        <v>904800</v>
      </c>
      <c r="E19" s="106">
        <v>218119.93164</v>
      </c>
      <c r="F19" s="74">
        <f t="shared" si="2"/>
        <v>0.891923485853227</v>
      </c>
    </row>
    <row r="20" spans="1:6">
      <c r="A20" s="64" t="s">
        <v>98</v>
      </c>
      <c r="B20" s="64">
        <v>262653.25</v>
      </c>
      <c r="C20" s="64">
        <v>61494.95</v>
      </c>
      <c r="D20" s="106">
        <v>256200</v>
      </c>
      <c r="E20" s="106">
        <v>61476.7608</v>
      </c>
      <c r="F20" s="74">
        <f t="shared" si="2"/>
        <v>1.02518832943013</v>
      </c>
    </row>
    <row r="21" spans="1:6">
      <c r="A21" s="64" t="s">
        <v>89</v>
      </c>
      <c r="B21" s="64">
        <v>747854.45</v>
      </c>
      <c r="C21" s="64">
        <v>126630.98</v>
      </c>
      <c r="D21" s="106">
        <v>809610</v>
      </c>
      <c r="E21" s="106">
        <v>168679.23228</v>
      </c>
      <c r="F21" s="74">
        <f t="shared" si="2"/>
        <v>0.923721853732044</v>
      </c>
    </row>
    <row r="22" spans="1:6">
      <c r="A22" s="64" t="s">
        <v>69</v>
      </c>
      <c r="B22" s="64">
        <v>572046.05</v>
      </c>
      <c r="C22" s="64">
        <v>124204.14</v>
      </c>
      <c r="D22" s="106">
        <v>677640</v>
      </c>
      <c r="E22" s="106">
        <v>151242.3738</v>
      </c>
      <c r="F22" s="74">
        <f t="shared" si="2"/>
        <v>0.844173971430258</v>
      </c>
    </row>
    <row r="23" spans="1:6">
      <c r="A23" s="64" t="s">
        <v>42</v>
      </c>
      <c r="B23" s="64">
        <v>1421374.44</v>
      </c>
      <c r="C23" s="64">
        <v>292212.81</v>
      </c>
      <c r="D23" s="106">
        <v>1339770</v>
      </c>
      <c r="E23" s="106">
        <v>289403.26104</v>
      </c>
      <c r="F23" s="74">
        <f t="shared" si="2"/>
        <v>1.06090929040059</v>
      </c>
    </row>
    <row r="24" spans="1:6">
      <c r="A24" s="64" t="s">
        <v>36</v>
      </c>
      <c r="B24" s="64">
        <v>242644.01</v>
      </c>
      <c r="C24" s="64">
        <v>40889.6</v>
      </c>
      <c r="D24" s="106">
        <v>259590</v>
      </c>
      <c r="E24" s="106">
        <v>52561.15956</v>
      </c>
      <c r="F24" s="74">
        <f t="shared" si="2"/>
        <v>0.934720174120729</v>
      </c>
    </row>
    <row r="25" spans="1:6">
      <c r="A25" s="64" t="s">
        <v>242</v>
      </c>
      <c r="B25" s="64">
        <v>6095557.01</v>
      </c>
      <c r="C25" s="64">
        <v>1212664.6</v>
      </c>
      <c r="D25" s="106">
        <v>6613320</v>
      </c>
      <c r="E25" s="106">
        <v>1473960.19296</v>
      </c>
      <c r="F25" s="74">
        <f t="shared" si="2"/>
        <v>0.921709067457797</v>
      </c>
    </row>
  </sheetData>
  <mergeCells count="16">
    <mergeCell ref="B14:C14"/>
    <mergeCell ref="D14:E14"/>
    <mergeCell ref="A1:A2"/>
    <mergeCell ref="A3:A4"/>
    <mergeCell ref="A5:A7"/>
    <mergeCell ref="A8:A9"/>
    <mergeCell ref="A10:A11"/>
    <mergeCell ref="B1:B2"/>
    <mergeCell ref="C1:C2"/>
    <mergeCell ref="F1:F2"/>
    <mergeCell ref="G1:G2"/>
    <mergeCell ref="H1:H2"/>
    <mergeCell ref="I1:I2"/>
    <mergeCell ref="J1:J2"/>
    <mergeCell ref="K1:K2"/>
    <mergeCell ref="L3:L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243</v>
      </c>
    </row>
    <row r="2" ht="27.75" spans="1:6">
      <c r="A2" s="79" t="s">
        <v>244</v>
      </c>
      <c r="B2" s="80" t="s">
        <v>245</v>
      </c>
      <c r="C2" s="80" t="s">
        <v>246</v>
      </c>
      <c r="D2" s="80" t="s">
        <v>247</v>
      </c>
      <c r="E2" s="80" t="s">
        <v>248</v>
      </c>
      <c r="F2" s="80" t="s">
        <v>249</v>
      </c>
    </row>
    <row r="3" ht="14.25" spans="1:6">
      <c r="A3" s="81" t="s">
        <v>250</v>
      </c>
      <c r="B3" s="82">
        <v>207</v>
      </c>
      <c r="C3" s="82">
        <v>13595</v>
      </c>
      <c r="D3" s="83">
        <v>42.3</v>
      </c>
      <c r="E3" s="84">
        <v>0.2002</v>
      </c>
      <c r="F3" s="82">
        <v>155.46</v>
      </c>
    </row>
    <row r="4" ht="16.5" customHeight="1" spans="1:6">
      <c r="A4" s="81" t="s">
        <v>251</v>
      </c>
      <c r="B4" s="82">
        <v>153.8</v>
      </c>
      <c r="C4" s="82">
        <v>14525</v>
      </c>
      <c r="D4" s="83">
        <v>29.6</v>
      </c>
      <c r="E4" s="84">
        <v>0.1925</v>
      </c>
      <c r="F4" s="82">
        <v>105.96</v>
      </c>
    </row>
    <row r="5" ht="15" customHeight="1" spans="1:6">
      <c r="A5" s="81" t="s">
        <v>252</v>
      </c>
      <c r="B5" s="83">
        <f>B3-B4</f>
        <v>53.2</v>
      </c>
      <c r="C5" s="83">
        <f>C3-C4</f>
        <v>-930</v>
      </c>
      <c r="D5" s="83">
        <f>D3-D4</f>
        <v>12.7</v>
      </c>
      <c r="E5" s="84">
        <v>0.0077</v>
      </c>
      <c r="F5" s="82">
        <v>49.5</v>
      </c>
    </row>
    <row r="6" ht="14.25" spans="1:6">
      <c r="A6" s="81" t="s">
        <v>253</v>
      </c>
      <c r="B6" s="84">
        <f>(B3-B4)/B4</f>
        <v>0.345903771131339</v>
      </c>
      <c r="C6" s="84">
        <f>(C3-C4)/C4</f>
        <v>-0.0640275387263339</v>
      </c>
      <c r="D6" s="84">
        <f>(D3-D4)/D4</f>
        <v>0.429054054054054</v>
      </c>
      <c r="E6" s="84"/>
      <c r="F6" s="82"/>
    </row>
    <row r="10" ht="14.25" spans="1:1">
      <c r="A10" t="s">
        <v>254</v>
      </c>
    </row>
    <row r="11" ht="27.75" spans="1:6">
      <c r="A11" s="85" t="s">
        <v>244</v>
      </c>
      <c r="B11" s="80" t="s">
        <v>245</v>
      </c>
      <c r="C11" s="80" t="s">
        <v>246</v>
      </c>
      <c r="D11" s="80" t="s">
        <v>247</v>
      </c>
      <c r="E11" s="80" t="s">
        <v>248</v>
      </c>
      <c r="F11" s="80" t="s">
        <v>249</v>
      </c>
    </row>
    <row r="12" ht="15" spans="1:6">
      <c r="A12" s="86" t="s">
        <v>250</v>
      </c>
      <c r="B12" s="87">
        <v>165</v>
      </c>
      <c r="C12" s="87">
        <v>12583</v>
      </c>
      <c r="D12" s="88">
        <v>34.36</v>
      </c>
      <c r="E12" s="89">
        <v>0.2073</v>
      </c>
      <c r="F12" s="87">
        <v>131.43</v>
      </c>
    </row>
    <row r="13" ht="15" spans="1:6">
      <c r="A13" s="86" t="s">
        <v>251</v>
      </c>
      <c r="B13" s="87">
        <v>122.9</v>
      </c>
      <c r="C13" s="87">
        <v>13044</v>
      </c>
      <c r="D13" s="88">
        <v>25.16</v>
      </c>
      <c r="E13" s="89">
        <v>0.2046</v>
      </c>
      <c r="F13" s="87">
        <v>94.27</v>
      </c>
    </row>
    <row r="14" ht="15" spans="1:6">
      <c r="A14" s="86" t="s">
        <v>252</v>
      </c>
      <c r="B14" s="88">
        <f>B12-B13</f>
        <v>42.1</v>
      </c>
      <c r="C14" s="88">
        <f>C12-C13</f>
        <v>-461</v>
      </c>
      <c r="D14" s="88">
        <f>D12-D13</f>
        <v>9.2</v>
      </c>
      <c r="E14" s="89">
        <v>0.0027</v>
      </c>
      <c r="F14" s="87">
        <v>37.16</v>
      </c>
    </row>
    <row r="15" ht="15" spans="1:6">
      <c r="A15" s="86" t="s">
        <v>253</v>
      </c>
      <c r="B15" s="89">
        <f>(B12-B13)/B13</f>
        <v>0.342554922701383</v>
      </c>
      <c r="C15" s="89">
        <f>(C12-C13)/C13</f>
        <v>-0.0353419196565471</v>
      </c>
      <c r="D15" s="89">
        <f>(D12-D13)/D13</f>
        <v>0.365659777424483</v>
      </c>
      <c r="E15" s="89"/>
      <c r="F15" s="87"/>
    </row>
    <row r="19" ht="14.25" spans="1:2">
      <c r="A19" t="s">
        <v>255</v>
      </c>
      <c r="B19" t="s">
        <v>256</v>
      </c>
    </row>
    <row r="20" ht="27.75" spans="1:6">
      <c r="A20" s="85" t="s">
        <v>244</v>
      </c>
      <c r="B20" s="79" t="s">
        <v>245</v>
      </c>
      <c r="C20" s="79" t="s">
        <v>246</v>
      </c>
      <c r="D20" s="79" t="s">
        <v>247</v>
      </c>
      <c r="E20" s="79" t="s">
        <v>248</v>
      </c>
      <c r="F20" s="79" t="s">
        <v>249</v>
      </c>
    </row>
    <row r="21" ht="15" spans="1:6">
      <c r="A21" s="86" t="s">
        <v>250</v>
      </c>
      <c r="B21" s="87">
        <v>165</v>
      </c>
      <c r="C21" s="87">
        <v>12583</v>
      </c>
      <c r="D21" s="88">
        <v>34.36</v>
      </c>
      <c r="E21" s="89">
        <v>0.2073</v>
      </c>
      <c r="F21" s="87">
        <v>131.43</v>
      </c>
    </row>
    <row r="22" ht="15" spans="1:6">
      <c r="A22" s="86" t="s">
        <v>257</v>
      </c>
      <c r="B22" s="86">
        <v>92.9</v>
      </c>
      <c r="C22" s="86">
        <v>10397</v>
      </c>
      <c r="D22" s="90">
        <v>24.9</v>
      </c>
      <c r="E22" s="91">
        <v>0.2681</v>
      </c>
      <c r="F22" s="86">
        <v>89.43</v>
      </c>
    </row>
    <row r="23" ht="15" spans="1:6">
      <c r="A23" s="86" t="s">
        <v>252</v>
      </c>
      <c r="B23" s="86">
        <f>B21-B22</f>
        <v>72.1</v>
      </c>
      <c r="C23" s="86">
        <f>C21-C22</f>
        <v>2186</v>
      </c>
      <c r="D23" s="86">
        <f>D21-D22</f>
        <v>9.46</v>
      </c>
      <c r="E23" s="91">
        <v>-0.0608</v>
      </c>
      <c r="F23" s="86">
        <f>F21-F22</f>
        <v>42</v>
      </c>
    </row>
    <row r="24" ht="15" spans="1:8">
      <c r="A24" s="86" t="s">
        <v>258</v>
      </c>
      <c r="B24" s="91">
        <f>(B21-B22)/B22</f>
        <v>0.776103336921421</v>
      </c>
      <c r="C24" s="91">
        <f>(C21-C22)/C22</f>
        <v>0.210252957583918</v>
      </c>
      <c r="D24" s="91">
        <f>(D21-D22)/D22</f>
        <v>0.379919678714859</v>
      </c>
      <c r="E24" s="91"/>
      <c r="F24" s="86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92" t="s">
        <v>244</v>
      </c>
      <c r="B27" s="93">
        <v>44815</v>
      </c>
      <c r="C27" s="93"/>
      <c r="D27" s="94">
        <v>44910</v>
      </c>
      <c r="E27" s="94"/>
    </row>
    <row r="28" ht="15" spans="1:5">
      <c r="A28" s="95"/>
      <c r="B28" s="96" t="s">
        <v>259</v>
      </c>
      <c r="C28" s="96" t="s">
        <v>260</v>
      </c>
      <c r="D28" s="92" t="s">
        <v>259</v>
      </c>
      <c r="E28" s="92" t="s">
        <v>259</v>
      </c>
    </row>
    <row r="29" ht="43.5" spans="1:5">
      <c r="A29" s="96" t="s">
        <v>261</v>
      </c>
      <c r="B29" s="96" t="s">
        <v>262</v>
      </c>
      <c r="C29" s="96" t="s">
        <v>263</v>
      </c>
      <c r="D29" s="96" t="s">
        <v>264</v>
      </c>
      <c r="E29" s="86" t="s">
        <v>265</v>
      </c>
    </row>
    <row r="30" ht="29.25" spans="1:5">
      <c r="A30" s="96" t="s">
        <v>266</v>
      </c>
      <c r="B30" s="96" t="s">
        <v>267</v>
      </c>
      <c r="C30" s="96"/>
      <c r="D30" s="96" t="s">
        <v>268</v>
      </c>
      <c r="E30" s="96"/>
    </row>
    <row r="31" ht="15" spans="1:5">
      <c r="A31" s="96" t="s">
        <v>210</v>
      </c>
      <c r="B31" s="97">
        <v>0.9409</v>
      </c>
      <c r="C31" s="97">
        <v>0.8625</v>
      </c>
      <c r="D31" s="98">
        <v>1.138</v>
      </c>
      <c r="E31" s="99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0" sqref="E20"/>
    </sheetView>
  </sheetViews>
  <sheetFormatPr defaultColWidth="9" defaultRowHeight="13.5" outlineLevelCol="5"/>
  <cols>
    <col min="1" max="1" width="11.375" style="1"/>
    <col min="2" max="2" width="23.75" style="1"/>
    <col min="3" max="3" width="19.125" style="1" customWidth="1"/>
    <col min="4" max="4" width="23.75" style="1"/>
    <col min="5" max="5" width="23.25" style="1" customWidth="1"/>
    <col min="6" max="6" width="12.625" style="1"/>
    <col min="7" max="16384" width="9" style="1"/>
  </cols>
  <sheetData>
    <row r="1" spans="1:6">
      <c r="A1" s="64"/>
      <c r="B1" s="64" t="s">
        <v>238</v>
      </c>
      <c r="C1" s="64"/>
      <c r="D1" s="73" t="s">
        <v>239</v>
      </c>
      <c r="E1" s="73"/>
      <c r="F1" s="64"/>
    </row>
    <row r="2" spans="1:6">
      <c r="A2" s="64" t="s">
        <v>11</v>
      </c>
      <c r="B2" s="64" t="s">
        <v>19</v>
      </c>
      <c r="C2" s="64" t="s">
        <v>20</v>
      </c>
      <c r="D2" s="73" t="s">
        <v>240</v>
      </c>
      <c r="E2" s="73" t="s">
        <v>241</v>
      </c>
      <c r="F2" s="64" t="s">
        <v>210</v>
      </c>
    </row>
    <row r="3" spans="1:6">
      <c r="A3" s="64" t="s">
        <v>166</v>
      </c>
      <c r="B3" s="64">
        <v>579067.39</v>
      </c>
      <c r="C3" s="64">
        <v>110411.09</v>
      </c>
      <c r="D3" s="73">
        <v>701340</v>
      </c>
      <c r="E3" s="73">
        <v>165321.4797</v>
      </c>
      <c r="F3" s="74">
        <f>B3/D3</f>
        <v>0.825658582142755</v>
      </c>
    </row>
    <row r="4" spans="1:6">
      <c r="A4" s="64" t="s">
        <v>139</v>
      </c>
      <c r="B4" s="64">
        <v>1272320.99</v>
      </c>
      <c r="C4" s="64">
        <v>237598.11</v>
      </c>
      <c r="D4" s="73">
        <v>1414830</v>
      </c>
      <c r="E4" s="73">
        <v>308327.57748</v>
      </c>
      <c r="F4" s="74">
        <f t="shared" ref="F4:F12" si="0">B4/D4</f>
        <v>0.899274817469237</v>
      </c>
    </row>
    <row r="5" spans="1:6">
      <c r="A5" s="64" t="s">
        <v>130</v>
      </c>
      <c r="B5" s="64">
        <v>190584.06</v>
      </c>
      <c r="C5" s="64">
        <v>39958.62</v>
      </c>
      <c r="D5" s="73">
        <v>249540</v>
      </c>
      <c r="E5" s="73">
        <v>58828.41666</v>
      </c>
      <c r="F5" s="74">
        <f t="shared" si="0"/>
        <v>0.763741524404905</v>
      </c>
    </row>
    <row r="6" spans="1:6">
      <c r="A6" s="64" t="s">
        <v>107</v>
      </c>
      <c r="B6" s="64">
        <v>807012.37</v>
      </c>
      <c r="C6" s="64">
        <v>179264.3</v>
      </c>
      <c r="D6" s="73">
        <v>904800</v>
      </c>
      <c r="E6" s="73">
        <v>218119.93164</v>
      </c>
      <c r="F6" s="74">
        <f t="shared" si="0"/>
        <v>0.891923485853227</v>
      </c>
    </row>
    <row r="7" spans="1:6">
      <c r="A7" s="64" t="s">
        <v>98</v>
      </c>
      <c r="B7" s="64">
        <v>262653.25</v>
      </c>
      <c r="C7" s="64">
        <v>61494.95</v>
      </c>
      <c r="D7" s="73">
        <v>256200</v>
      </c>
      <c r="E7" s="73">
        <v>61476.7608</v>
      </c>
      <c r="F7" s="75">
        <f t="shared" si="0"/>
        <v>1.02518832943013</v>
      </c>
    </row>
    <row r="8" spans="1:6">
      <c r="A8" s="64" t="s">
        <v>89</v>
      </c>
      <c r="B8" s="64">
        <v>747854.45</v>
      </c>
      <c r="C8" s="64">
        <v>126630.98</v>
      </c>
      <c r="D8" s="73">
        <v>809610</v>
      </c>
      <c r="E8" s="73">
        <v>168679.23228</v>
      </c>
      <c r="F8" s="74">
        <f t="shared" si="0"/>
        <v>0.923721853732044</v>
      </c>
    </row>
    <row r="9" spans="1:6">
      <c r="A9" s="64" t="s">
        <v>69</v>
      </c>
      <c r="B9" s="64">
        <v>572046.05</v>
      </c>
      <c r="C9" s="64">
        <v>124204.14</v>
      </c>
      <c r="D9" s="73">
        <v>677640</v>
      </c>
      <c r="E9" s="73">
        <v>151242.3738</v>
      </c>
      <c r="F9" s="74">
        <f t="shared" si="0"/>
        <v>0.844173971430258</v>
      </c>
    </row>
    <row r="10" spans="1:6">
      <c r="A10" s="64" t="s">
        <v>42</v>
      </c>
      <c r="B10" s="64">
        <v>1421374.44</v>
      </c>
      <c r="C10" s="64">
        <v>292212.81</v>
      </c>
      <c r="D10" s="73">
        <v>1339770</v>
      </c>
      <c r="E10" s="73">
        <v>289403.26104</v>
      </c>
      <c r="F10" s="75">
        <f t="shared" si="0"/>
        <v>1.06090929040059</v>
      </c>
    </row>
    <row r="11" spans="1:6">
      <c r="A11" s="64" t="s">
        <v>36</v>
      </c>
      <c r="B11" s="64">
        <v>242644.01</v>
      </c>
      <c r="C11" s="64">
        <v>40889.6</v>
      </c>
      <c r="D11" s="73">
        <v>259590</v>
      </c>
      <c r="E11" s="73">
        <v>52561.15956</v>
      </c>
      <c r="F11" s="74">
        <f t="shared" si="0"/>
        <v>0.934720174120729</v>
      </c>
    </row>
    <row r="12" s="72" customFormat="1" spans="1:6">
      <c r="A12" s="76" t="s">
        <v>242</v>
      </c>
      <c r="B12" s="76">
        <v>6095557.01</v>
      </c>
      <c r="C12" s="76">
        <v>1212664.6</v>
      </c>
      <c r="D12" s="77">
        <v>6613320</v>
      </c>
      <c r="E12" s="77">
        <v>1473960.19296</v>
      </c>
      <c r="F12" s="78">
        <f t="shared" si="0"/>
        <v>0.921709067457797</v>
      </c>
    </row>
    <row r="13" spans="1:6">
      <c r="A13" s="64"/>
      <c r="B13" s="64"/>
      <c r="C13" s="64"/>
      <c r="D13" s="64"/>
      <c r="E13" s="64"/>
      <c r="F13" s="64"/>
    </row>
  </sheetData>
  <mergeCells count="2">
    <mergeCell ref="B1:C1"/>
    <mergeCell ref="D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8</v>
      </c>
      <c r="B1" s="18" t="s">
        <v>9</v>
      </c>
      <c r="C1" s="18" t="s">
        <v>10</v>
      </c>
      <c r="D1" s="18" t="s">
        <v>11</v>
      </c>
      <c r="E1" s="19" t="s">
        <v>12</v>
      </c>
      <c r="F1" s="20" t="s">
        <v>13</v>
      </c>
      <c r="G1" s="21" t="s">
        <v>14</v>
      </c>
      <c r="H1" s="22" t="s">
        <v>269</v>
      </c>
      <c r="I1" s="22" t="s">
        <v>270</v>
      </c>
      <c r="J1" s="33" t="s">
        <v>271</v>
      </c>
      <c r="K1" s="33" t="s">
        <v>272</v>
      </c>
      <c r="L1" s="34" t="s">
        <v>19</v>
      </c>
      <c r="M1" s="35" t="s">
        <v>20</v>
      </c>
      <c r="N1" s="36" t="s">
        <v>21</v>
      </c>
      <c r="O1" s="37" t="s">
        <v>22</v>
      </c>
      <c r="P1" s="37" t="s">
        <v>23</v>
      </c>
      <c r="Q1" s="42" t="s">
        <v>24</v>
      </c>
      <c r="R1" s="42" t="s">
        <v>25</v>
      </c>
      <c r="S1" s="42" t="s">
        <v>26</v>
      </c>
      <c r="T1" s="42" t="s">
        <v>27</v>
      </c>
      <c r="U1" s="34" t="s">
        <v>19</v>
      </c>
      <c r="V1" s="35" t="s">
        <v>20</v>
      </c>
      <c r="W1" s="36" t="s">
        <v>21</v>
      </c>
      <c r="X1" s="37" t="s">
        <v>28</v>
      </c>
      <c r="Y1" s="37" t="s">
        <v>29</v>
      </c>
      <c r="Z1" s="42" t="s">
        <v>30</v>
      </c>
      <c r="AA1" s="42" t="s">
        <v>31</v>
      </c>
      <c r="AB1" s="44" t="s">
        <v>15</v>
      </c>
      <c r="AC1" s="44" t="s">
        <v>16</v>
      </c>
      <c r="AD1" s="45" t="s">
        <v>17</v>
      </c>
      <c r="AE1" s="45" t="s">
        <v>18</v>
      </c>
      <c r="AF1" s="46" t="s">
        <v>19</v>
      </c>
      <c r="AG1" s="46" t="s">
        <v>20</v>
      </c>
      <c r="AH1" s="50" t="s">
        <v>21</v>
      </c>
      <c r="AI1" s="51" t="s">
        <v>22</v>
      </c>
      <c r="AJ1" s="51" t="s">
        <v>23</v>
      </c>
      <c r="AK1" s="45" t="s">
        <v>32</v>
      </c>
      <c r="AL1" s="45" t="s">
        <v>26</v>
      </c>
      <c r="AM1" s="45" t="s">
        <v>27</v>
      </c>
      <c r="AN1" s="52" t="s">
        <v>28</v>
      </c>
      <c r="AO1" s="52" t="s">
        <v>29</v>
      </c>
      <c r="AP1" s="55" t="s">
        <v>273</v>
      </c>
      <c r="AQ1" s="46" t="s">
        <v>19</v>
      </c>
      <c r="AR1" s="46" t="s">
        <v>20</v>
      </c>
      <c r="AS1" s="50" t="s">
        <v>21</v>
      </c>
      <c r="AT1" s="56"/>
    </row>
    <row r="2" s="2" customFormat="1" spans="1:46">
      <c r="A2" s="23">
        <v>1</v>
      </c>
      <c r="B2" s="24">
        <v>385</v>
      </c>
      <c r="C2" s="24" t="s">
        <v>35</v>
      </c>
      <c r="D2" s="24" t="s">
        <v>36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37</v>
      </c>
      <c r="D3" s="24" t="s">
        <v>36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38</v>
      </c>
      <c r="D4" s="24" t="s">
        <v>36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39</v>
      </c>
      <c r="D5" s="24" t="s">
        <v>36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40</v>
      </c>
      <c r="D6" s="24" t="s">
        <v>36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41</v>
      </c>
      <c r="D7" s="24" t="s">
        <v>42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43</v>
      </c>
      <c r="D8" s="24" t="s">
        <v>42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44</v>
      </c>
      <c r="D9" s="24" t="s">
        <v>42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45</v>
      </c>
      <c r="D10" s="24" t="s">
        <v>42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46</v>
      </c>
      <c r="D11" s="24" t="s">
        <v>42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47</v>
      </c>
      <c r="D12" s="24" t="s">
        <v>42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48</v>
      </c>
      <c r="D13" s="24" t="s">
        <v>42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49</v>
      </c>
      <c r="D14" s="24" t="s">
        <v>42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50</v>
      </c>
      <c r="D15" s="24" t="s">
        <v>42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51</v>
      </c>
      <c r="D16" s="24" t="s">
        <v>42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52</v>
      </c>
      <c r="D17" s="24" t="s">
        <v>42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53</v>
      </c>
      <c r="D18" s="24" t="s">
        <v>42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54</v>
      </c>
      <c r="D19" s="24" t="s">
        <v>42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55</v>
      </c>
      <c r="D20" s="24" t="s">
        <v>42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56</v>
      </c>
      <c r="D21" s="24" t="s">
        <v>42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57</v>
      </c>
      <c r="D22" s="24" t="s">
        <v>42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58</v>
      </c>
      <c r="D23" s="24" t="s">
        <v>42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59</v>
      </c>
      <c r="D24" s="24" t="s">
        <v>42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60</v>
      </c>
      <c r="D25" s="24" t="s">
        <v>42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61</v>
      </c>
      <c r="D26" s="24" t="s">
        <v>42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62</v>
      </c>
      <c r="D27" s="24" t="s">
        <v>42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63</v>
      </c>
      <c r="D28" s="24" t="s">
        <v>42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64</v>
      </c>
      <c r="D29" s="24" t="s">
        <v>42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65</v>
      </c>
      <c r="D30" s="24" t="s">
        <v>42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66</v>
      </c>
      <c r="D31" s="24" t="s">
        <v>42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67</v>
      </c>
      <c r="D32" s="24" t="s">
        <v>42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68</v>
      </c>
      <c r="D33" s="24" t="s">
        <v>69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70</v>
      </c>
      <c r="D34" s="24" t="s">
        <v>69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71</v>
      </c>
      <c r="D35" s="24" t="s">
        <v>69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72</v>
      </c>
      <c r="D36" s="24" t="s">
        <v>69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73</v>
      </c>
      <c r="D37" s="24" t="s">
        <v>69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74</v>
      </c>
      <c r="D38" s="24" t="s">
        <v>69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75</v>
      </c>
      <c r="D39" s="24" t="s">
        <v>69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76</v>
      </c>
      <c r="D40" s="24" t="s">
        <v>69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77</v>
      </c>
      <c r="D41" s="24" t="s">
        <v>69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78</v>
      </c>
      <c r="D42" s="24" t="s">
        <v>69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79</v>
      </c>
      <c r="D43" s="24" t="s">
        <v>69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80</v>
      </c>
      <c r="D44" s="24" t="s">
        <v>69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81</v>
      </c>
      <c r="D45" s="24" t="s">
        <v>69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82</v>
      </c>
      <c r="D46" s="24" t="s">
        <v>69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83</v>
      </c>
      <c r="D47" s="24" t="s">
        <v>69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84</v>
      </c>
      <c r="D48" s="24" t="s">
        <v>69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85</v>
      </c>
      <c r="D49" s="24" t="s">
        <v>69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86</v>
      </c>
      <c r="D50" s="24" t="s">
        <v>69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87</v>
      </c>
      <c r="D51" s="24" t="s">
        <v>69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88</v>
      </c>
      <c r="D52" s="24" t="s">
        <v>89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90</v>
      </c>
      <c r="D53" s="24" t="s">
        <v>89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91</v>
      </c>
      <c r="D54" s="24" t="s">
        <v>89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92</v>
      </c>
      <c r="D55" s="24" t="s">
        <v>89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93</v>
      </c>
      <c r="D56" s="24" t="s">
        <v>89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94</v>
      </c>
      <c r="D57" s="24" t="s">
        <v>89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95</v>
      </c>
      <c r="D58" s="24" t="s">
        <v>89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96</v>
      </c>
      <c r="D59" s="24" t="s">
        <v>89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97</v>
      </c>
      <c r="D60" s="24" t="s">
        <v>98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99</v>
      </c>
      <c r="D61" s="24" t="s">
        <v>98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100</v>
      </c>
      <c r="D62" s="24" t="s">
        <v>98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101</v>
      </c>
      <c r="D63" s="24" t="s">
        <v>98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102</v>
      </c>
      <c r="D64" s="24" t="s">
        <v>98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103</v>
      </c>
      <c r="D65" s="24" t="s">
        <v>98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104</v>
      </c>
      <c r="D66" s="24" t="s">
        <v>98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105</v>
      </c>
      <c r="D67" s="24" t="s">
        <v>98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106</v>
      </c>
      <c r="D68" s="24" t="s">
        <v>107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108</v>
      </c>
      <c r="D69" s="24" t="s">
        <v>107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109</v>
      </c>
      <c r="D70" s="24" t="s">
        <v>107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110</v>
      </c>
      <c r="D71" s="24" t="s">
        <v>107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111</v>
      </c>
      <c r="D72" s="24" t="s">
        <v>107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112</v>
      </c>
      <c r="D73" s="24" t="s">
        <v>107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113</v>
      </c>
      <c r="D74" s="24" t="s">
        <v>107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114</v>
      </c>
      <c r="D75" s="24" t="s">
        <v>107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115</v>
      </c>
      <c r="D76" s="24" t="s">
        <v>107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116</v>
      </c>
      <c r="D77" s="24" t="s">
        <v>107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117</v>
      </c>
      <c r="D78" s="24" t="s">
        <v>107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118</v>
      </c>
      <c r="D79" s="24" t="s">
        <v>107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119</v>
      </c>
      <c r="D80" s="24" t="s">
        <v>107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120</v>
      </c>
      <c r="D81" s="24" t="s">
        <v>107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121</v>
      </c>
      <c r="D82" s="24" t="s">
        <v>107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122</v>
      </c>
      <c r="D83" s="24" t="s">
        <v>107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123</v>
      </c>
      <c r="D84" s="24" t="s">
        <v>107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124</v>
      </c>
      <c r="D85" s="24" t="s">
        <v>107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125</v>
      </c>
      <c r="D86" s="24" t="s">
        <v>107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126</v>
      </c>
      <c r="D87" s="24" t="s">
        <v>107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127</v>
      </c>
      <c r="D88" s="24" t="s">
        <v>107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128</v>
      </c>
      <c r="D89" s="24" t="s">
        <v>107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129</v>
      </c>
      <c r="D90" s="24" t="s">
        <v>130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131</v>
      </c>
      <c r="D91" s="24" t="s">
        <v>130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132</v>
      </c>
      <c r="D92" s="24" t="s">
        <v>130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133</v>
      </c>
      <c r="D93" s="24" t="s">
        <v>130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134</v>
      </c>
      <c r="D94" s="24" t="s">
        <v>130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135</v>
      </c>
      <c r="D95" s="24" t="s">
        <v>130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136</v>
      </c>
      <c r="D96" s="24" t="s">
        <v>130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137</v>
      </c>
      <c r="D97" s="24" t="s">
        <v>130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138</v>
      </c>
      <c r="D98" s="24" t="s">
        <v>139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140</v>
      </c>
      <c r="D99" s="24" t="s">
        <v>139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141</v>
      </c>
      <c r="D100" s="24" t="s">
        <v>139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142</v>
      </c>
      <c r="D101" s="24" t="s">
        <v>139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143</v>
      </c>
      <c r="D102" s="24" t="s">
        <v>139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144</v>
      </c>
      <c r="D103" s="24" t="s">
        <v>139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145</v>
      </c>
      <c r="D104" s="24" t="s">
        <v>139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146</v>
      </c>
      <c r="D105" s="24" t="s">
        <v>139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147</v>
      </c>
      <c r="D106" s="24" t="s">
        <v>139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148</v>
      </c>
      <c r="D107" s="24" t="s">
        <v>139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149</v>
      </c>
      <c r="D108" s="24" t="s">
        <v>139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150</v>
      </c>
      <c r="D109" s="24" t="s">
        <v>139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151</v>
      </c>
      <c r="D110" s="24" t="s">
        <v>139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152</v>
      </c>
      <c r="D111" s="24" t="s">
        <v>139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153</v>
      </c>
      <c r="D112" s="24" t="s">
        <v>139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154</v>
      </c>
      <c r="D113" s="24" t="s">
        <v>139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155</v>
      </c>
      <c r="D114" s="24" t="s">
        <v>139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156</v>
      </c>
      <c r="D115" s="24" t="s">
        <v>139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157</v>
      </c>
      <c r="D116" s="24" t="s">
        <v>139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158</v>
      </c>
      <c r="D117" s="24" t="s">
        <v>139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159</v>
      </c>
      <c r="D118" s="24" t="s">
        <v>139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160</v>
      </c>
      <c r="D119" s="24" t="s">
        <v>139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161</v>
      </c>
      <c r="D120" s="24" t="s">
        <v>139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162</v>
      </c>
      <c r="D121" s="24" t="s">
        <v>139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163</v>
      </c>
      <c r="D122" s="24" t="s">
        <v>139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164</v>
      </c>
      <c r="D123" s="24" t="s">
        <v>139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165</v>
      </c>
      <c r="D124" s="24" t="s">
        <v>166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167</v>
      </c>
      <c r="D125" s="24" t="s">
        <v>166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168</v>
      </c>
      <c r="D126" s="24" t="s">
        <v>166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169</v>
      </c>
      <c r="D127" s="24" t="s">
        <v>166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170</v>
      </c>
      <c r="D128" s="24" t="s">
        <v>166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171</v>
      </c>
      <c r="D129" s="24" t="s">
        <v>166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172</v>
      </c>
      <c r="D130" s="24" t="s">
        <v>166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173</v>
      </c>
      <c r="D131" s="24" t="s">
        <v>166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174</v>
      </c>
      <c r="D132" s="24" t="s">
        <v>166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175</v>
      </c>
      <c r="D133" s="24" t="s">
        <v>166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176</v>
      </c>
      <c r="D134" s="24" t="s">
        <v>166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177</v>
      </c>
      <c r="D135" s="24" t="s">
        <v>166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178</v>
      </c>
      <c r="D136" s="24" t="s">
        <v>166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179</v>
      </c>
      <c r="D137" s="24" t="s">
        <v>166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180</v>
      </c>
      <c r="D138" s="24" t="s">
        <v>166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181</v>
      </c>
      <c r="D139" s="24" t="s">
        <v>166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182</v>
      </c>
      <c r="D140" s="24" t="s">
        <v>166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183</v>
      </c>
      <c r="D141" s="24" t="s">
        <v>166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184</v>
      </c>
      <c r="D142" s="24" t="s">
        <v>166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185</v>
      </c>
      <c r="D143" s="24" t="s">
        <v>166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186</v>
      </c>
      <c r="D144" s="24" t="s">
        <v>166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pk分组及任务</vt:lpstr>
      <vt:lpstr>员工奖励明细</vt:lpstr>
      <vt:lpstr>片区PK</vt:lpstr>
      <vt:lpstr>Sheet1</vt:lpstr>
      <vt:lpstr>片区完成情况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2022-11-02T08:49:00Z</dcterms:created>
  <dcterms:modified xsi:type="dcterms:W3CDTF">2022-12-24T06:08:15Z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CAC75635D34045259BF26F8DBF0D9E1A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