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935" windowHeight="7935" firstSheet="3" activeTab="3"/>
  </bookViews>
  <sheets>
    <sheet name="政策明细表（原始表）" sheetId="1" state="hidden" r:id="rId1"/>
    <sheet name="任务明细表" sheetId="2" state="hidden" r:id="rId2"/>
    <sheet name="10月" sheetId="5" state="hidden" r:id="rId3"/>
    <sheet name="任务明细表 （确定版）" sheetId="6" r:id="rId4"/>
    <sheet name="政策明细表 (2)" sheetId="7" r:id="rId5"/>
    <sheet name="Sheet1" sheetId="8" state="hidden" r:id="rId6"/>
  </sheets>
  <externalReferences>
    <externalReference r:id="rId7"/>
    <externalReference r:id="rId8"/>
    <externalReference r:id="rId9"/>
    <externalReference r:id="rId10"/>
  </externalReferences>
  <definedNames>
    <definedName name="_xlnm._FilterDatabase" localSheetId="1" hidden="1">任务明细表!$A$2:$AB$103</definedName>
    <definedName name="_xlnm._FilterDatabase" localSheetId="2" hidden="1">'10月'!$A$2:$AA$97</definedName>
    <definedName name="_xlnm._FilterDatabase" localSheetId="3" hidden="1">'任务明细表 （确定版）'!$A$2:$AJ$103</definedName>
  </definedNames>
  <calcPr calcId="144525"/>
</workbook>
</file>

<file path=xl/sharedStrings.xml><?xml version="1.0" encoding="utf-8"?>
<sst xmlns="http://schemas.openxmlformats.org/spreadsheetml/2006/main" count="249">
  <si>
    <t>10月重点品种政策明细表（三）</t>
  </si>
  <si>
    <t>门店奖励标准</t>
  </si>
  <si>
    <t>销售情况</t>
  </si>
  <si>
    <t>任务标准（10.1-10.31）</t>
  </si>
  <si>
    <t>序号</t>
  </si>
  <si>
    <t>商品系列</t>
  </si>
  <si>
    <t>货品ID</t>
  </si>
  <si>
    <t>品名</t>
  </si>
  <si>
    <t>规格</t>
  </si>
  <si>
    <t>产地</t>
  </si>
  <si>
    <t>考核价</t>
  </si>
  <si>
    <t>零售价</t>
  </si>
  <si>
    <t>毛利率</t>
  </si>
  <si>
    <t>现有政策</t>
  </si>
  <si>
    <t>追加奖励</t>
  </si>
  <si>
    <t>基础档（原提成）</t>
  </si>
  <si>
    <t>基础档金额</t>
  </si>
  <si>
    <t xml:space="preserve">挑战1 </t>
  </si>
  <si>
    <t>环比</t>
  </si>
  <si>
    <t>同比</t>
  </si>
  <si>
    <t>基础档</t>
  </si>
  <si>
    <t>挑战档</t>
  </si>
  <si>
    <t>处罚</t>
  </si>
  <si>
    <t>类别</t>
  </si>
  <si>
    <t>丹参+通脉</t>
  </si>
  <si>
    <t>丹参口服液</t>
  </si>
  <si>
    <t>10mlx10支</t>
  </si>
  <si>
    <t>太极涪陵药厂</t>
  </si>
  <si>
    <t>晒单奖励：1-4盒按1元/盒发放、5-9盒1.5元/盒发放、10盒及以上按2元/盒发放</t>
  </si>
  <si>
    <t>无</t>
  </si>
  <si>
    <t>对未完成基础任务的差额部分处罚2%</t>
  </si>
  <si>
    <t>中</t>
  </si>
  <si>
    <t>通脉颗粒</t>
  </si>
  <si>
    <t>10gx10袋</t>
  </si>
  <si>
    <t>重庆中药二厂</t>
  </si>
  <si>
    <t>晒单奖励：2元/盒</t>
  </si>
  <si>
    <t>感冒系列</t>
  </si>
  <si>
    <t>连花清瘟胶囊</t>
  </si>
  <si>
    <t>0.35gx36粒</t>
  </si>
  <si>
    <t>石家庄以岭</t>
  </si>
  <si>
    <t>1元/盒</t>
  </si>
  <si>
    <t>复方氨酚溴敏胶囊</t>
  </si>
  <si>
    <t>20粒</t>
  </si>
  <si>
    <t>香港澳美制药厂</t>
  </si>
  <si>
    <t>追加1元/盒，后台返利5.5元。前台毛利50%，加上后台返利毛利达72%</t>
  </si>
  <si>
    <t>感冒清热颗粒</t>
  </si>
  <si>
    <t>12g*12袋</t>
  </si>
  <si>
    <t>风寒咳嗽颗粒</t>
  </si>
  <si>
    <t>5gx6袋</t>
  </si>
  <si>
    <t>桐君阁药厂</t>
  </si>
  <si>
    <t>氨糖系列</t>
  </si>
  <si>
    <t>氨糖软骨素钙片</t>
  </si>
  <si>
    <t>180片</t>
  </si>
  <si>
    <t>汤臣倍健</t>
  </si>
  <si>
    <t>晒单奖励：加换购后，奖励10元/盒</t>
  </si>
  <si>
    <t>氨糖软骨素维生素D钙片</t>
  </si>
  <si>
    <t>102g（0.85gx120片）</t>
  </si>
  <si>
    <t>江苏艾兰得</t>
  </si>
  <si>
    <t>晒单奖励：10元/盒</t>
  </si>
  <si>
    <t>补肾类别</t>
  </si>
  <si>
    <t>还少丹</t>
  </si>
  <si>
    <t>9gx20袋（20丸重1克）</t>
  </si>
  <si>
    <t>晒单奖励：30元/盒</t>
  </si>
  <si>
    <t>追加1.5元</t>
  </si>
  <si>
    <t>9gx10袋(水蜜丸)</t>
  </si>
  <si>
    <t>晒单奖励：15元/盒</t>
  </si>
  <si>
    <t>追加1元</t>
  </si>
  <si>
    <t>六味地黄丸</t>
  </si>
  <si>
    <t>126丸/瓶(浓缩丸)</t>
  </si>
  <si>
    <t>五子衍宗丸</t>
  </si>
  <si>
    <t>300丸</t>
  </si>
  <si>
    <t>四川绵阳制药</t>
  </si>
  <si>
    <t>晒单奖励：20元/瓶</t>
  </si>
  <si>
    <t>补肾益寿胶囊</t>
  </si>
  <si>
    <t>0.3gx60粒</t>
  </si>
  <si>
    <t>晒单奖励：10元/瓶，1.5后台返利</t>
  </si>
  <si>
    <t>重点品种11月门店任务指标</t>
  </si>
  <si>
    <t>补肾系列</t>
  </si>
  <si>
    <t>门店ID</t>
  </si>
  <si>
    <t>门店名称</t>
  </si>
  <si>
    <t>类型</t>
  </si>
  <si>
    <t>片区分类</t>
  </si>
  <si>
    <t>丹参+通脉（基础档）</t>
  </si>
  <si>
    <t>丹参+通脉（挑战档）</t>
  </si>
  <si>
    <t>上月销售</t>
  </si>
  <si>
    <t>上月任务</t>
  </si>
  <si>
    <t>感冒系列挑战档</t>
  </si>
  <si>
    <t>10月销售</t>
  </si>
  <si>
    <t>10月任务</t>
  </si>
  <si>
    <t>上月</t>
  </si>
  <si>
    <t>挑战档（一版）</t>
  </si>
  <si>
    <t>光华药店</t>
  </si>
  <si>
    <t>A1</t>
  </si>
  <si>
    <t>西北片区</t>
  </si>
  <si>
    <t>成华区二环路北四段药店（汇融名城）</t>
  </si>
  <si>
    <t>A2</t>
  </si>
  <si>
    <t>青羊区十二桥药店</t>
  </si>
  <si>
    <t>枣子巷药店</t>
  </si>
  <si>
    <t>金牛区交大路第三药店</t>
  </si>
  <si>
    <t>光华村街药店</t>
  </si>
  <si>
    <t>武侯区顺和街店</t>
  </si>
  <si>
    <t>新都区新繁镇繁江北路药店</t>
  </si>
  <si>
    <t>成华区羊子山西路药店（兴元华盛）</t>
  </si>
  <si>
    <t>新都区马超东路店</t>
  </si>
  <si>
    <t>B1</t>
  </si>
  <si>
    <t>土龙路药店</t>
  </si>
  <si>
    <t>金沙路店</t>
  </si>
  <si>
    <t xml:space="preserve">B2 </t>
  </si>
  <si>
    <t>清江2店</t>
  </si>
  <si>
    <t>B2</t>
  </si>
  <si>
    <t>金牛区黄苑东街药店</t>
  </si>
  <si>
    <t>沙河源药店</t>
  </si>
  <si>
    <t>聚萃路店</t>
  </si>
  <si>
    <t>C2</t>
  </si>
  <si>
    <t>成华区新怡路店</t>
  </si>
  <si>
    <t>清江东路药店</t>
  </si>
  <si>
    <t>青羊区浣花滨河路药店</t>
  </si>
  <si>
    <t>西部店</t>
  </si>
  <si>
    <t>佳灵路</t>
  </si>
  <si>
    <t>贝森路店</t>
  </si>
  <si>
    <t>西林一街店</t>
  </si>
  <si>
    <t>银河北街</t>
  </si>
  <si>
    <t>大华街药店</t>
  </si>
  <si>
    <t>旗舰店</t>
  </si>
  <si>
    <t>T</t>
  </si>
  <si>
    <t>旗舰片</t>
  </si>
  <si>
    <t>成华区华泰路药店</t>
  </si>
  <si>
    <t>东南片区</t>
  </si>
  <si>
    <t>高新区民丰大道西段药店</t>
  </si>
  <si>
    <t>成汉南路店</t>
  </si>
  <si>
    <t>成华区万科路药店</t>
  </si>
  <si>
    <t>新乐中街药店</t>
  </si>
  <si>
    <t>锦江区楠丰路店</t>
  </si>
  <si>
    <t>锦江区观音桥街药店</t>
  </si>
  <si>
    <t>锦江区水杉街药店</t>
  </si>
  <si>
    <t>高新天久北巷药店</t>
  </si>
  <si>
    <t>双流县西航港街道锦华路一段药店</t>
  </si>
  <si>
    <t>新园大道药店</t>
  </si>
  <si>
    <t>成华区万宇路药店</t>
  </si>
  <si>
    <t>C1</t>
  </si>
  <si>
    <t>高新区中和街道柳荫街药店</t>
  </si>
  <si>
    <t>高新区大源北街药店</t>
  </si>
  <si>
    <t>双流县三强西路</t>
  </si>
  <si>
    <t>成华区华康路药店</t>
  </si>
  <si>
    <t>龙潭西路店</t>
  </si>
  <si>
    <t>合欢树街</t>
  </si>
  <si>
    <t>金马河店</t>
  </si>
  <si>
    <t>中和大道药店</t>
  </si>
  <si>
    <t>成华区华油路药店</t>
  </si>
  <si>
    <t>城中片区</t>
  </si>
  <si>
    <t>通盈街药店</t>
  </si>
  <si>
    <t>成华区崔家店路药店</t>
  </si>
  <si>
    <t>红星店</t>
  </si>
  <si>
    <t>青羊区北东街店</t>
  </si>
  <si>
    <t>科华路店</t>
  </si>
  <si>
    <t>金丝街药店</t>
  </si>
  <si>
    <t>双林路药店</t>
  </si>
  <si>
    <t>人民中路店</t>
  </si>
  <si>
    <t>锦江区庆云南街药店</t>
  </si>
  <si>
    <t>成华杉板桥南一路店</t>
  </si>
  <si>
    <t>郫县一环路东南段店</t>
  </si>
  <si>
    <t>郫县郫筒镇东大街药店</t>
  </si>
  <si>
    <t>锦江区柳翠路药店</t>
  </si>
  <si>
    <t>龙泉驿生路店</t>
  </si>
  <si>
    <t>童子街店</t>
  </si>
  <si>
    <t>静明路店</t>
  </si>
  <si>
    <t>劼人路店</t>
  </si>
  <si>
    <t>浆洗街</t>
  </si>
  <si>
    <t>邛崃中心药店</t>
  </si>
  <si>
    <t>城郊一片区</t>
  </si>
  <si>
    <t>新津邓双镇岷江店</t>
  </si>
  <si>
    <t>大邑县晋原镇内蒙古桃源店</t>
  </si>
  <si>
    <t>五津西路药店</t>
  </si>
  <si>
    <t>邛崃市临邛镇洪川小区药店</t>
  </si>
  <si>
    <t>大邑县晋原镇通达东路五段药店</t>
  </si>
  <si>
    <t>邛崃市临邛镇长安大道药店</t>
  </si>
  <si>
    <t>大邑东街店</t>
  </si>
  <si>
    <t>兴义镇万兴路药店</t>
  </si>
  <si>
    <t>大邑县晋原镇子龙路店</t>
  </si>
  <si>
    <t>大邑县新场镇文昌街药店</t>
  </si>
  <si>
    <t>大邑县安仁镇千禧街药店</t>
  </si>
  <si>
    <t>大邑县晋源镇东壕沟段药店</t>
  </si>
  <si>
    <t>大邑县沙渠镇方圆路药店</t>
  </si>
  <si>
    <t>邛崃市羊安镇永康大道药店</t>
  </si>
  <si>
    <t>武阳西路</t>
  </si>
  <si>
    <t>城郊一片</t>
  </si>
  <si>
    <t>潘家街药店</t>
  </si>
  <si>
    <t>金带街药店</t>
  </si>
  <si>
    <t>城郊二片区</t>
  </si>
  <si>
    <t>怀远店</t>
  </si>
  <si>
    <t>崇州中心店</t>
  </si>
  <si>
    <t>都江堰景中路店</t>
  </si>
  <si>
    <t>温江店</t>
  </si>
  <si>
    <t>崇州尚贤坊街店</t>
  </si>
  <si>
    <t>都江堰奎光路中段药店</t>
  </si>
  <si>
    <t>三江店</t>
  </si>
  <si>
    <t>都江堰药店</t>
  </si>
  <si>
    <t>都江堰幸福镇翔凤路药店</t>
  </si>
  <si>
    <t>都江堰市蒲阳镇堰问道西路药店</t>
  </si>
  <si>
    <t>都江堰市蒲阳路药店</t>
  </si>
  <si>
    <t>鱼凫路</t>
  </si>
  <si>
    <t>都江堰聚源镇药店</t>
  </si>
  <si>
    <r>
      <rPr>
        <sz val="10"/>
        <color rgb="FFFF0000"/>
        <rFont val="宋体"/>
        <charset val="0"/>
      </rPr>
      <t>永康东路药店</t>
    </r>
    <r>
      <rPr>
        <sz val="10"/>
        <color rgb="FFFF0000"/>
        <rFont val="Arial"/>
        <charset val="0"/>
      </rPr>
      <t xml:space="preserve"> </t>
    </r>
  </si>
  <si>
    <t>江安路</t>
  </si>
  <si>
    <t>城郊二片</t>
  </si>
  <si>
    <t xml:space="preserve">翠荫路 </t>
  </si>
  <si>
    <t>蜀州中路药店</t>
  </si>
  <si>
    <t>城郊二店</t>
  </si>
  <si>
    <t>合计</t>
  </si>
  <si>
    <t>备注：大部分品种基础任务都按同期或环比销售为基础任务，无大额增长。新店及去年装修无数据门店根据上两月销售及门店类型制定。此任务分基础档和挑战档，完成哪档给哪档的奖励，未完成基础档任务根据政策明细表处罚</t>
  </si>
  <si>
    <t>重点品种10月门店任务指标</t>
  </si>
  <si>
    <t>艾兰得氨糖软骨素维生素D钙片</t>
  </si>
  <si>
    <t>汤臣倍健氨糖软骨素钙片</t>
  </si>
  <si>
    <t>还少丹系列</t>
  </si>
  <si>
    <t xml:space="preserve"> </t>
  </si>
  <si>
    <t>重点品种12月门店任务指标</t>
  </si>
  <si>
    <t>实际销售</t>
  </si>
  <si>
    <t>完成情况</t>
  </si>
  <si>
    <t>完成档次</t>
  </si>
  <si>
    <t>奖励</t>
  </si>
  <si>
    <t>销售金额</t>
  </si>
  <si>
    <t>实际销售补肾</t>
  </si>
  <si>
    <t>合计奖励</t>
  </si>
  <si>
    <t>合计处罚</t>
  </si>
  <si>
    <t>未完成</t>
  </si>
  <si>
    <t xml:space="preserve">永康东路药店 </t>
  </si>
  <si>
    <t>12月重点品种政策明细表（三）</t>
  </si>
  <si>
    <t>品种明细</t>
  </si>
  <si>
    <t>任务标准（11.26-12.25）</t>
  </si>
  <si>
    <t>处罚标准</t>
  </si>
  <si>
    <t>任务参考数据来源</t>
  </si>
  <si>
    <t>挑战档提成</t>
  </si>
  <si>
    <t>保底提成</t>
  </si>
  <si>
    <t>2.5元/盒</t>
  </si>
  <si>
    <t>3.5元/盒</t>
  </si>
  <si>
    <t>对未完成基础任务的差额部分处罚1元/盒</t>
  </si>
  <si>
    <t>低</t>
  </si>
  <si>
    <t>环比数据</t>
  </si>
  <si>
    <t>1.5元/盒</t>
  </si>
  <si>
    <t>对未完成基础任务的差额部分处罚0.6元/盒</t>
  </si>
  <si>
    <t>0.8元/盒</t>
  </si>
  <si>
    <t>同比数据</t>
  </si>
  <si>
    <t>完成基础档盒数不处罚，未完成基础档，差额部分按5元/盒处罚</t>
  </si>
  <si>
    <t>未完成基础档按差额部分4%进行处罚</t>
  </si>
  <si>
    <t>总经理：</t>
  </si>
  <si>
    <t>营运部：</t>
  </si>
  <si>
    <t>制表人：刘美玲</t>
  </si>
  <si>
    <t>蜀汉路</t>
  </si>
  <si>
    <t>航中街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</si>
</sst>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);[Red]\(0.00\)"/>
  </numFmts>
  <fonts count="54">
    <font>
      <sz val="11"/>
      <color theme="1"/>
      <name val="宋体"/>
      <charset val="134"/>
      <scheme val="minor"/>
    </font>
    <font>
      <sz val="10"/>
      <name val="宋体"/>
      <charset val="134"/>
    </font>
    <font>
      <sz val="12"/>
      <name val="宋体"/>
      <charset val="134"/>
    </font>
    <font>
      <sz val="11"/>
      <color rgb="FFFF0000"/>
      <name val="宋体"/>
      <charset val="134"/>
    </font>
    <font>
      <sz val="12"/>
      <name val="宋体"/>
      <charset val="0"/>
    </font>
    <font>
      <sz val="10"/>
      <name val="宋体"/>
      <charset val="0"/>
    </font>
    <font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宋体"/>
      <charset val="134"/>
    </font>
    <font>
      <sz val="14"/>
      <color theme="1"/>
      <name val="宋体"/>
      <charset val="134"/>
      <scheme val="minor"/>
    </font>
    <font>
      <sz val="12"/>
      <name val="宋体"/>
      <charset val="134"/>
      <scheme val="minor"/>
    </font>
    <font>
      <b/>
      <sz val="9"/>
      <name val="宋体"/>
      <charset val="134"/>
    </font>
    <font>
      <sz val="9"/>
      <name val="宋体"/>
      <charset val="134"/>
      <scheme val="minor"/>
    </font>
    <font>
      <sz val="9"/>
      <name val="Arial"/>
      <charset val="0"/>
    </font>
    <font>
      <sz val="9"/>
      <name val="宋体"/>
      <charset val="0"/>
    </font>
    <font>
      <b/>
      <sz val="9"/>
      <name val="宋体"/>
      <charset val="134"/>
      <scheme val="minor"/>
    </font>
    <font>
      <sz val="10"/>
      <name val="Arial"/>
      <charset val="0"/>
    </font>
    <font>
      <sz val="9"/>
      <color rgb="FFFF0000"/>
      <name val="宋体"/>
      <charset val="134"/>
    </font>
    <font>
      <sz val="9"/>
      <color rgb="FFFF0000"/>
      <name val="宋体"/>
      <charset val="0"/>
    </font>
    <font>
      <sz val="9"/>
      <color rgb="FFFF0000"/>
      <name val="宋体"/>
      <charset val="134"/>
      <scheme val="minor"/>
    </font>
    <font>
      <b/>
      <sz val="9"/>
      <name val="Arial"/>
      <charset val="0"/>
    </font>
    <font>
      <b/>
      <sz val="14"/>
      <name val="宋体"/>
      <charset val="134"/>
    </font>
    <font>
      <b/>
      <sz val="10"/>
      <name val="宋体"/>
      <charset val="134"/>
    </font>
    <font>
      <sz val="10"/>
      <color rgb="FFFF0000"/>
      <name val="宋体"/>
      <charset val="134"/>
    </font>
    <font>
      <sz val="10"/>
      <color theme="1"/>
      <name val="宋体"/>
      <charset val="134"/>
      <scheme val="minor"/>
    </font>
    <font>
      <b/>
      <sz val="10"/>
      <name val="Arial"/>
      <charset val="0"/>
    </font>
    <font>
      <sz val="10"/>
      <color rgb="FFFF0000"/>
      <name val="宋体"/>
      <charset val="0"/>
    </font>
    <font>
      <sz val="16"/>
      <color theme="1"/>
      <name val="宋体"/>
      <charset val="134"/>
      <scheme val="minor"/>
    </font>
    <font>
      <b/>
      <sz val="9"/>
      <color theme="1"/>
      <name val="宋体"/>
      <charset val="134"/>
    </font>
    <font>
      <sz val="12"/>
      <color rgb="FFFF0000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color rgb="FFFF0000"/>
      <name val="Arial"/>
      <charset val="0"/>
    </font>
  </fonts>
  <fills count="4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6"/>
        <bgColor indexed="64"/>
      </patternFill>
    </fill>
    <fill>
      <patternFill patternType="solid">
        <fgColor theme="8" tint="0.6"/>
        <bgColor indexed="64"/>
      </patternFill>
    </fill>
    <fill>
      <patternFill patternType="solid">
        <fgColor theme="7" tint="0.6"/>
        <bgColor indexed="64"/>
      </patternFill>
    </fill>
    <fill>
      <patternFill patternType="solid">
        <fgColor theme="6" tint="0.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4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6" fillId="18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17" borderId="10" applyNumberFormat="0" applyFont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14" applyNumberFormat="0" applyFill="0" applyAlignment="0" applyProtection="0">
      <alignment vertical="center"/>
    </xf>
    <xf numFmtId="0" fontId="48" fillId="0" borderId="14" applyNumberFormat="0" applyFill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40" fillId="0" borderId="16" applyNumberFormat="0" applyFill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41" fillId="25" borderId="12" applyNumberFormat="0" applyAlignment="0" applyProtection="0">
      <alignment vertical="center"/>
    </xf>
    <xf numFmtId="0" fontId="43" fillId="25" borderId="11" applyNumberFormat="0" applyAlignment="0" applyProtection="0">
      <alignment vertical="center"/>
    </xf>
    <xf numFmtId="0" fontId="45" fillId="26" borderId="13" applyNumberFormat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49" fillId="0" borderId="15" applyNumberFormat="0" applyFill="0" applyAlignment="0" applyProtection="0">
      <alignment vertical="center"/>
    </xf>
    <xf numFmtId="0" fontId="50" fillId="0" borderId="17" applyNumberFormat="0" applyFill="0" applyAlignment="0" applyProtection="0">
      <alignment vertical="center"/>
    </xf>
    <xf numFmtId="0" fontId="51" fillId="30" borderId="0" applyNumberFormat="0" applyBorder="0" applyAlignment="0" applyProtection="0">
      <alignment vertical="center"/>
    </xf>
    <xf numFmtId="0" fontId="52" fillId="31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</cellStyleXfs>
  <cellXfs count="160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 wrapText="1"/>
    </xf>
    <xf numFmtId="0" fontId="5" fillId="0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0" xfId="0" applyFont="1" applyFill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vertical="center"/>
    </xf>
    <xf numFmtId="0" fontId="10" fillId="0" borderId="4" xfId="0" applyFont="1" applyFill="1" applyBorder="1" applyAlignment="1">
      <alignment vertical="center"/>
    </xf>
    <xf numFmtId="0" fontId="10" fillId="0" borderId="3" xfId="0" applyFont="1" applyFill="1" applyBorder="1" applyAlignment="1">
      <alignment vertical="center"/>
    </xf>
    <xf numFmtId="0" fontId="14" fillId="0" borderId="5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/>
    </xf>
    <xf numFmtId="9" fontId="10" fillId="0" borderId="1" xfId="0" applyNumberFormat="1" applyFont="1" applyFill="1" applyBorder="1" applyAlignment="1">
      <alignment horizontal="center" vertical="center" wrapText="1"/>
    </xf>
    <xf numFmtId="9" fontId="10" fillId="2" borderId="1" xfId="11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/>
    </xf>
    <xf numFmtId="9" fontId="10" fillId="0" borderId="1" xfId="11" applyFont="1" applyFill="1" applyBorder="1" applyAlignment="1">
      <alignment horizontal="center" vertical="center"/>
    </xf>
    <xf numFmtId="9" fontId="10" fillId="0" borderId="1" xfId="11" applyNumberFormat="1" applyFont="1" applyFill="1" applyBorder="1" applyAlignment="1">
      <alignment horizontal="center" vertical="center" wrapText="1"/>
    </xf>
    <xf numFmtId="9" fontId="10" fillId="2" borderId="3" xfId="0" applyNumberFormat="1" applyFont="1" applyFill="1" applyBorder="1" applyAlignment="1" applyProtection="1">
      <alignment horizontal="center" vertical="center" wrapText="1"/>
    </xf>
    <xf numFmtId="9" fontId="10" fillId="2" borderId="3" xfId="0" applyNumberFormat="1" applyFont="1" applyFill="1" applyBorder="1" applyAlignment="1">
      <alignment horizontal="center" vertical="center" wrapText="1"/>
    </xf>
    <xf numFmtId="9" fontId="10" fillId="2" borderId="1" xfId="11" applyNumberFormat="1" applyFont="1" applyFill="1" applyBorder="1" applyAlignment="1">
      <alignment horizontal="center" vertical="center" wrapText="1"/>
    </xf>
    <xf numFmtId="9" fontId="10" fillId="0" borderId="2" xfId="0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9" fontId="10" fillId="2" borderId="1" xfId="11" applyNumberFormat="1" applyFont="1" applyFill="1" applyBorder="1" applyAlignment="1" applyProtection="1">
      <alignment horizontal="center" vertical="center" wrapText="1"/>
    </xf>
    <xf numFmtId="9" fontId="10" fillId="0" borderId="4" xfId="0" applyNumberFormat="1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 wrapText="1"/>
    </xf>
    <xf numFmtId="9" fontId="10" fillId="0" borderId="3" xfId="0" applyNumberFormat="1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right" vertical="center"/>
    </xf>
    <xf numFmtId="0" fontId="0" fillId="2" borderId="0" xfId="0" applyFill="1">
      <alignment vertical="center"/>
    </xf>
    <xf numFmtId="0" fontId="0" fillId="0" borderId="0" xfId="0" applyFill="1">
      <alignment vertical="center"/>
    </xf>
    <xf numFmtId="0" fontId="18" fillId="0" borderId="0" xfId="0" applyFont="1" applyFill="1" applyBorder="1" applyAlignment="1">
      <alignment horizontal="center"/>
    </xf>
    <xf numFmtId="0" fontId="18" fillId="0" borderId="0" xfId="0" applyFont="1" applyFill="1" applyBorder="1" applyAlignment="1">
      <alignment horizontal="left"/>
    </xf>
    <xf numFmtId="0" fontId="6" fillId="0" borderId="0" xfId="0" applyFont="1">
      <alignment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19" fillId="0" borderId="1" xfId="0" applyFont="1" applyFill="1" applyBorder="1" applyAlignment="1">
      <alignment horizontal="center"/>
    </xf>
    <xf numFmtId="0" fontId="15" fillId="0" borderId="1" xfId="0" applyFont="1" applyFill="1" applyBorder="1" applyAlignment="1">
      <alignment horizontal="center"/>
    </xf>
    <xf numFmtId="0" fontId="20" fillId="0" borderId="1" xfId="0" applyFont="1" applyFill="1" applyBorder="1" applyAlignment="1">
      <alignment horizontal="center"/>
    </xf>
    <xf numFmtId="0" fontId="16" fillId="0" borderId="1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left" vertical="center"/>
    </xf>
    <xf numFmtId="0" fontId="23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/>
    </xf>
    <xf numFmtId="0" fontId="0" fillId="7" borderId="8" xfId="0" applyFill="1" applyBorder="1" applyAlignment="1">
      <alignment horizontal="center" vertical="center"/>
    </xf>
    <xf numFmtId="0" fontId="0" fillId="7" borderId="7" xfId="0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0" fillId="7" borderId="9" xfId="0" applyFill="1" applyBorder="1" applyAlignment="1">
      <alignment horizontal="center" vertical="center"/>
    </xf>
    <xf numFmtId="0" fontId="9" fillId="7" borderId="8" xfId="0" applyFont="1" applyFill="1" applyBorder="1" applyAlignment="1">
      <alignment horizontal="center" vertical="center"/>
    </xf>
    <xf numFmtId="0" fontId="9" fillId="7" borderId="7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26" fillId="7" borderId="8" xfId="0" applyFont="1" applyFill="1" applyBorder="1" applyAlignment="1">
      <alignment horizontal="center" vertical="center"/>
    </xf>
    <xf numFmtId="0" fontId="26" fillId="7" borderId="7" xfId="0" applyFont="1" applyFill="1" applyBorder="1" applyAlignment="1">
      <alignment horizontal="center" vertical="center"/>
    </xf>
    <xf numFmtId="0" fontId="26" fillId="7" borderId="9" xfId="0" applyFont="1" applyFill="1" applyBorder="1" applyAlignment="1">
      <alignment horizontal="center" vertical="center"/>
    </xf>
    <xf numFmtId="0" fontId="0" fillId="7" borderId="1" xfId="0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18" fillId="0" borderId="1" xfId="0" applyFont="1" applyFill="1" applyBorder="1" applyAlignment="1">
      <alignment horizontal="center"/>
    </xf>
    <xf numFmtId="0" fontId="27" fillId="0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4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0" fontId="7" fillId="0" borderId="1" xfId="0" applyFont="1" applyBorder="1" applyAlignment="1">
      <alignment horizontal="left" vertical="center"/>
    </xf>
    <xf numFmtId="0" fontId="23" fillId="0" borderId="1" xfId="0" applyFont="1" applyFill="1" applyBorder="1" applyAlignment="1">
      <alignment horizontal="left" vertical="center"/>
    </xf>
    <xf numFmtId="0" fontId="24" fillId="0" borderId="1" xfId="0" applyFont="1" applyFill="1" applyBorder="1" applyAlignment="1">
      <alignment horizontal="left" vertical="center" wrapText="1"/>
    </xf>
    <xf numFmtId="0" fontId="26" fillId="8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/>
    </xf>
    <xf numFmtId="0" fontId="25" fillId="0" borderId="1" xfId="0" applyFont="1" applyFill="1" applyBorder="1" applyAlignment="1">
      <alignment horizontal="left"/>
    </xf>
    <xf numFmtId="0" fontId="28" fillId="0" borderId="1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center"/>
    </xf>
    <xf numFmtId="0" fontId="0" fillId="0" borderId="1" xfId="0" applyBorder="1">
      <alignment vertical="center"/>
    </xf>
    <xf numFmtId="0" fontId="0" fillId="0" borderId="1" xfId="0" applyBorder="1" applyAlignment="1">
      <alignment vertical="center"/>
    </xf>
    <xf numFmtId="0" fontId="0" fillId="9" borderId="1" xfId="0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5" borderId="1" xfId="0" applyFont="1" applyFill="1" applyBorder="1" applyAlignment="1">
      <alignment vertical="center"/>
    </xf>
    <xf numFmtId="0" fontId="0" fillId="6" borderId="0" xfId="0" applyFill="1" applyAlignment="1">
      <alignment vertical="center"/>
    </xf>
    <xf numFmtId="0" fontId="0" fillId="0" borderId="0" xfId="0" applyFill="1" applyAlignment="1">
      <alignment vertical="center"/>
    </xf>
    <xf numFmtId="0" fontId="6" fillId="0" borderId="1" xfId="0" applyFont="1" applyBorder="1">
      <alignment vertical="center"/>
    </xf>
    <xf numFmtId="0" fontId="27" fillId="0" borderId="1" xfId="0" applyFont="1" applyFill="1" applyBorder="1" applyAlignment="1">
      <alignment horizontal="left"/>
    </xf>
    <xf numFmtId="0" fontId="0" fillId="0" borderId="0" xfId="0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center" vertical="center" wrapText="1"/>
    </xf>
    <xf numFmtId="0" fontId="31" fillId="0" borderId="1" xfId="0" applyFont="1" applyFill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32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9" fontId="21" fillId="0" borderId="1" xfId="11" applyFont="1" applyBorder="1" applyAlignment="1">
      <alignment horizontal="center" vertical="center"/>
    </xf>
    <xf numFmtId="9" fontId="21" fillId="0" borderId="1" xfId="11" applyFont="1" applyBorder="1" applyAlignment="1">
      <alignment horizontal="center" vertical="center" wrapText="1"/>
    </xf>
    <xf numFmtId="9" fontId="25" fillId="0" borderId="1" xfId="0" applyNumberFormat="1" applyFont="1" applyFill="1" applyBorder="1" applyAlignment="1">
      <alignment horizontal="center" vertical="center" wrapText="1"/>
    </xf>
    <xf numFmtId="176" fontId="25" fillId="0" borderId="1" xfId="0" applyNumberFormat="1" applyFont="1" applyFill="1" applyBorder="1" applyAlignment="1">
      <alignment horizontal="center" vertical="center" wrapText="1"/>
    </xf>
    <xf numFmtId="9" fontId="9" fillId="0" borderId="1" xfId="11" applyFont="1" applyBorder="1" applyAlignment="1">
      <alignment horizontal="center" vertical="center"/>
    </xf>
    <xf numFmtId="9" fontId="9" fillId="0" borderId="1" xfId="11" applyFont="1" applyBorder="1" applyAlignment="1">
      <alignment horizontal="center" vertical="center" wrapText="1"/>
    </xf>
    <xf numFmtId="9" fontId="1" fillId="0" borderId="1" xfId="1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9" fontId="1" fillId="0" borderId="1" xfId="11" applyNumberFormat="1" applyFont="1" applyFill="1" applyBorder="1" applyAlignment="1">
      <alignment horizontal="center" vertical="center"/>
    </xf>
    <xf numFmtId="0" fontId="9" fillId="2" borderId="1" xfId="11" applyNumberFormat="1" applyFont="1" applyFill="1" applyBorder="1" applyAlignment="1" applyProtection="1">
      <alignment horizontal="center" vertical="center"/>
    </xf>
    <xf numFmtId="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9" fontId="1" fillId="0" borderId="1" xfId="0" applyNumberFormat="1" applyFont="1" applyFill="1" applyBorder="1" applyAlignment="1">
      <alignment horizontal="center" vertical="center"/>
    </xf>
    <xf numFmtId="9" fontId="1" fillId="0" borderId="1" xfId="11" applyNumberFormat="1" applyFont="1" applyFill="1" applyBorder="1" applyAlignment="1">
      <alignment horizontal="center" vertical="center" wrapText="1"/>
    </xf>
    <xf numFmtId="0" fontId="33" fillId="0" borderId="1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25" fillId="0" borderId="2" xfId="0" applyFont="1" applyFill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/>
    </xf>
    <xf numFmtId="0" fontId="25" fillId="0" borderId="3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3.xml"/><Relationship Id="rId8" Type="http://schemas.openxmlformats.org/officeDocument/2006/relationships/externalLink" Target="externalLinks/externalLink2.xml"/><Relationship Id="rId7" Type="http://schemas.openxmlformats.org/officeDocument/2006/relationships/externalLink" Target="externalLinks/externalLink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externalLink" Target="externalLinks/externalLink4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32771;&#26680;&#20215;&#26597;&#35810;_2018092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Desktop\&#21608;&#38144;&#21806;\&#38144;&#21806;&#25968;&#25454;\10&#26376;\2018&#24180;9.26-10.25&#26085;&#38144;&#21806;&#24773;&#20917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Desktop\2018&#24180;9.26-10.25&#26085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201812&#37325;&#28857;&#19977;&#65288;&#35885;&#24198;&#25991;&#65289;&#12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考核价查询"/>
    </sheetNames>
    <sheetDataSet>
      <sheetData sheetId="0">
        <row r="1">
          <cell r="A1" t="str">
            <v>货品ID</v>
          </cell>
          <cell r="B1" t="str">
            <v>货品名称</v>
          </cell>
          <cell r="C1" t="str">
            <v>规格</v>
          </cell>
          <cell r="D1" t="str">
            <v>单位</v>
          </cell>
          <cell r="E1" t="str">
            <v>考核价</v>
          </cell>
        </row>
        <row r="2">
          <cell r="A2">
            <v>139379</v>
          </cell>
          <cell r="B2" t="str">
            <v>感冒清热颗粒</v>
          </cell>
          <cell r="C2" t="str">
            <v>12g*12袋</v>
          </cell>
          <cell r="D2" t="str">
            <v>盒</v>
          </cell>
          <cell r="E2">
            <v>8.4</v>
          </cell>
        </row>
        <row r="3">
          <cell r="A3">
            <v>118954</v>
          </cell>
          <cell r="B3" t="str">
            <v>连花清瘟胶囊</v>
          </cell>
          <cell r="C3" t="str">
            <v>0.35gx36粒</v>
          </cell>
          <cell r="D3" t="str">
            <v>盒</v>
          </cell>
          <cell r="E3">
            <v>9.3</v>
          </cell>
        </row>
        <row r="4">
          <cell r="A4">
            <v>136714</v>
          </cell>
          <cell r="B4" t="str">
            <v>复方氨酚溴敏胶囊</v>
          </cell>
          <cell r="C4" t="str">
            <v>20粒</v>
          </cell>
          <cell r="D4" t="str">
            <v>盒</v>
          </cell>
          <cell r="E4">
            <v>14.8</v>
          </cell>
        </row>
        <row r="5">
          <cell r="A5">
            <v>113826</v>
          </cell>
          <cell r="B5" t="str">
            <v>风寒咳嗽颗粒</v>
          </cell>
          <cell r="C5" t="str">
            <v>5gx6袋</v>
          </cell>
          <cell r="D5" t="str">
            <v>盒</v>
          </cell>
          <cell r="E5">
            <v>12</v>
          </cell>
        </row>
        <row r="6">
          <cell r="A6">
            <v>75138</v>
          </cell>
          <cell r="B6" t="str">
            <v>还少丹</v>
          </cell>
          <cell r="C6" t="str">
            <v>9gx10袋(水蜜丸)</v>
          </cell>
          <cell r="D6" t="str">
            <v>盒</v>
          </cell>
          <cell r="E6">
            <v>60</v>
          </cell>
        </row>
        <row r="7">
          <cell r="A7">
            <v>164949</v>
          </cell>
          <cell r="B7" t="str">
            <v>还少丹</v>
          </cell>
          <cell r="C7" t="str">
            <v>9gx20袋（20丸重1克）</v>
          </cell>
          <cell r="D7" t="str">
            <v>盒</v>
          </cell>
          <cell r="E7">
            <v>84</v>
          </cell>
        </row>
        <row r="8">
          <cell r="A8">
            <v>166880</v>
          </cell>
          <cell r="B8" t="str">
            <v>五子衍宗丸</v>
          </cell>
          <cell r="C8" t="str">
            <v>10丸x30袋(浓缩丸）</v>
          </cell>
          <cell r="D8" t="str">
            <v>盒</v>
          </cell>
          <cell r="E8">
            <v>89.1</v>
          </cell>
        </row>
        <row r="9">
          <cell r="A9">
            <v>21580</v>
          </cell>
          <cell r="B9" t="str">
            <v>补肾益寿胶囊</v>
          </cell>
          <cell r="C9" t="str">
            <v>0.3gx60粒</v>
          </cell>
          <cell r="D9" t="str">
            <v>盒</v>
          </cell>
          <cell r="E9">
            <v>55.6</v>
          </cell>
        </row>
        <row r="10">
          <cell r="A10">
            <v>84174</v>
          </cell>
          <cell r="B10" t="str">
            <v>六味地黄丸</v>
          </cell>
          <cell r="C10" t="str">
            <v>126丸/瓶(浓缩丸)</v>
          </cell>
          <cell r="D10" t="str">
            <v>盒</v>
          </cell>
          <cell r="E10">
            <v>12.25</v>
          </cell>
        </row>
        <row r="11">
          <cell r="A11">
            <v>133360</v>
          </cell>
          <cell r="B11" t="str">
            <v>丹参口服液</v>
          </cell>
          <cell r="C11" t="str">
            <v>10mlx10支</v>
          </cell>
          <cell r="D11" t="str">
            <v>盒</v>
          </cell>
          <cell r="E11">
            <v>16.4</v>
          </cell>
        </row>
        <row r="12">
          <cell r="A12">
            <v>31440</v>
          </cell>
          <cell r="B12" t="str">
            <v>通脉颗粒</v>
          </cell>
          <cell r="C12" t="str">
            <v>10gx10袋</v>
          </cell>
          <cell r="D12" t="str">
            <v>盒</v>
          </cell>
          <cell r="E12">
            <v>15.2</v>
          </cell>
        </row>
        <row r="13">
          <cell r="A13">
            <v>116987</v>
          </cell>
          <cell r="B13" t="str">
            <v>氨糖软骨素维生素D钙片</v>
          </cell>
          <cell r="C13" t="str">
            <v>102g（0.85gx120片）</v>
          </cell>
          <cell r="D13" t="str">
            <v>盒</v>
          </cell>
          <cell r="E13">
            <v>71</v>
          </cell>
        </row>
        <row r="14">
          <cell r="A14">
            <v>162305</v>
          </cell>
          <cell r="B14" t="str">
            <v>氨糖软骨素钙片</v>
          </cell>
          <cell r="C14" t="str">
            <v>180片</v>
          </cell>
          <cell r="D14" t="str">
            <v>盒</v>
          </cell>
          <cell r="E14">
            <v>174.6</v>
          </cell>
        </row>
        <row r="15">
          <cell r="B15" t="str">
            <v/>
          </cell>
          <cell r="C15" t="str">
            <v/>
          </cell>
          <cell r="D15" t="str">
            <v/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查询时间段分门店销售汇总"/>
    </sheetNames>
    <sheetDataSet>
      <sheetData sheetId="0">
        <row r="1">
          <cell r="D1" t="str">
            <v/>
          </cell>
          <cell r="E1" t="str">
            <v/>
          </cell>
          <cell r="F1" t="str">
            <v/>
          </cell>
          <cell r="G1" t="str">
            <v/>
          </cell>
          <cell r="H1" t="str">
            <v/>
          </cell>
        </row>
        <row r="2">
          <cell r="D2" t="str">
            <v>门店ID</v>
          </cell>
          <cell r="E2" t="str">
            <v>门店名称</v>
          </cell>
          <cell r="F2" t="str">
            <v>是否是重点门店</v>
          </cell>
          <cell r="G2" t="str">
            <v>片区ID</v>
          </cell>
          <cell r="H2" t="str">
            <v>片区名称</v>
          </cell>
        </row>
        <row r="3">
          <cell r="D3">
            <v>307</v>
          </cell>
          <cell r="E3" t="str">
            <v>四川太极旗舰店</v>
          </cell>
          <cell r="F3" t="str">
            <v>是</v>
          </cell>
          <cell r="G3">
            <v>142</v>
          </cell>
          <cell r="H3" t="str">
            <v>旗舰片</v>
          </cell>
        </row>
        <row r="4">
          <cell r="D4">
            <v>582</v>
          </cell>
          <cell r="E4" t="str">
            <v>四川太极青羊区十二桥药店</v>
          </cell>
          <cell r="F4" t="str">
            <v>否</v>
          </cell>
          <cell r="G4">
            <v>181</v>
          </cell>
          <cell r="H4" t="str">
            <v>西北片区</v>
          </cell>
        </row>
        <row r="5">
          <cell r="D5">
            <v>341</v>
          </cell>
          <cell r="E5" t="str">
            <v>四川太极邛崃中心药店</v>
          </cell>
          <cell r="F5" t="str">
            <v>是</v>
          </cell>
          <cell r="G5">
            <v>235</v>
          </cell>
          <cell r="H5" t="str">
            <v>城郊一片区</v>
          </cell>
        </row>
        <row r="6">
          <cell r="D6">
            <v>517</v>
          </cell>
          <cell r="E6" t="str">
            <v>四川太极青羊区北东街店</v>
          </cell>
          <cell r="F6" t="str">
            <v>否</v>
          </cell>
          <cell r="G6">
            <v>23</v>
          </cell>
          <cell r="H6" t="str">
            <v>城中片区</v>
          </cell>
        </row>
        <row r="7">
          <cell r="D7">
            <v>343</v>
          </cell>
          <cell r="E7" t="str">
            <v>四川太极光华药店</v>
          </cell>
          <cell r="F7" t="str">
            <v>是</v>
          </cell>
          <cell r="G7">
            <v>181</v>
          </cell>
          <cell r="H7" t="str">
            <v>西北片区</v>
          </cell>
        </row>
        <row r="8">
          <cell r="D8">
            <v>750</v>
          </cell>
          <cell r="E8" t="str">
            <v>成都成汉太极大药房有限公司</v>
          </cell>
          <cell r="F8" t="str">
            <v/>
          </cell>
          <cell r="G8">
            <v>232</v>
          </cell>
          <cell r="H8" t="str">
            <v>东南片区</v>
          </cell>
        </row>
        <row r="9">
          <cell r="D9">
            <v>571</v>
          </cell>
          <cell r="E9" t="str">
            <v>四川太极高新区民丰大道西段药店</v>
          </cell>
          <cell r="F9" t="str">
            <v>是</v>
          </cell>
          <cell r="G9">
            <v>232</v>
          </cell>
          <cell r="H9" t="str">
            <v>东南片区</v>
          </cell>
        </row>
        <row r="10">
          <cell r="D10">
            <v>345</v>
          </cell>
          <cell r="E10" t="str">
            <v>四川太极交大药店</v>
          </cell>
          <cell r="F10" t="str">
            <v>否</v>
          </cell>
          <cell r="G10">
            <v>261</v>
          </cell>
          <cell r="H10" t="str">
            <v>团购片</v>
          </cell>
        </row>
        <row r="11">
          <cell r="D11">
            <v>712</v>
          </cell>
          <cell r="E11" t="str">
            <v>四川太极成华区华泰路药店</v>
          </cell>
          <cell r="F11" t="str">
            <v>否</v>
          </cell>
          <cell r="G11">
            <v>232</v>
          </cell>
          <cell r="H11" t="str">
            <v>东南片区</v>
          </cell>
        </row>
        <row r="12">
          <cell r="D12">
            <v>707</v>
          </cell>
          <cell r="E12" t="str">
            <v>四川太极成华区万科路药店</v>
          </cell>
          <cell r="F12" t="str">
            <v>否</v>
          </cell>
          <cell r="G12">
            <v>232</v>
          </cell>
          <cell r="H12" t="str">
            <v>东南片区</v>
          </cell>
        </row>
        <row r="13">
          <cell r="D13">
            <v>365</v>
          </cell>
          <cell r="E13" t="str">
            <v>四川太极光华村街药店</v>
          </cell>
          <cell r="F13" t="str">
            <v>是</v>
          </cell>
          <cell r="G13">
            <v>181</v>
          </cell>
          <cell r="H13" t="str">
            <v>西北片区</v>
          </cell>
        </row>
        <row r="14">
          <cell r="D14">
            <v>387</v>
          </cell>
          <cell r="E14" t="str">
            <v>四川太极新乐中街药店</v>
          </cell>
          <cell r="F14" t="str">
            <v>否</v>
          </cell>
          <cell r="G14">
            <v>232</v>
          </cell>
          <cell r="H14" t="str">
            <v>东南片区</v>
          </cell>
        </row>
        <row r="15">
          <cell r="D15">
            <v>385</v>
          </cell>
          <cell r="E15" t="str">
            <v>四川太极五津西路药店</v>
          </cell>
          <cell r="F15" t="str">
            <v>是</v>
          </cell>
          <cell r="G15">
            <v>235</v>
          </cell>
          <cell r="H15" t="str">
            <v>城郊一片区</v>
          </cell>
        </row>
        <row r="16">
          <cell r="D16">
            <v>581</v>
          </cell>
          <cell r="E16" t="str">
            <v>四川太极成华区二环路北四段药店（汇融名城）</v>
          </cell>
          <cell r="F16" t="str">
            <v>是</v>
          </cell>
          <cell r="G16">
            <v>181</v>
          </cell>
          <cell r="H16" t="str">
            <v>西北片区</v>
          </cell>
        </row>
        <row r="17">
          <cell r="D17">
            <v>585</v>
          </cell>
          <cell r="E17" t="str">
            <v>四川太极成华区羊子山西路药店（兴元华盛）</v>
          </cell>
          <cell r="F17" t="str">
            <v>否</v>
          </cell>
          <cell r="G17">
            <v>181</v>
          </cell>
          <cell r="H17" t="str">
            <v>西北片区</v>
          </cell>
        </row>
        <row r="18">
          <cell r="D18">
            <v>373</v>
          </cell>
          <cell r="E18" t="str">
            <v>四川太极通盈街药店</v>
          </cell>
          <cell r="F18" t="str">
            <v>否</v>
          </cell>
          <cell r="G18">
            <v>23</v>
          </cell>
          <cell r="H18" t="str">
            <v>城中片区</v>
          </cell>
        </row>
        <row r="19">
          <cell r="D19">
            <v>546</v>
          </cell>
          <cell r="E19" t="str">
            <v>四川太极锦江区榕声路店</v>
          </cell>
          <cell r="F19" t="str">
            <v>否</v>
          </cell>
          <cell r="G19">
            <v>232</v>
          </cell>
          <cell r="H19" t="str">
            <v>东南片区</v>
          </cell>
        </row>
        <row r="20">
          <cell r="D20">
            <v>513</v>
          </cell>
          <cell r="E20" t="str">
            <v>四川太极武侯区顺和街店</v>
          </cell>
          <cell r="F20" t="str">
            <v>否</v>
          </cell>
          <cell r="G20">
            <v>181</v>
          </cell>
          <cell r="H20" t="str">
            <v>西北片区</v>
          </cell>
        </row>
        <row r="21">
          <cell r="D21">
            <v>709</v>
          </cell>
          <cell r="E21" t="str">
            <v>四川太极新都区马超东路店</v>
          </cell>
          <cell r="F21" t="str">
            <v>否</v>
          </cell>
          <cell r="G21">
            <v>181</v>
          </cell>
          <cell r="H21" t="str">
            <v>西北片区</v>
          </cell>
        </row>
        <row r="22">
          <cell r="D22">
            <v>730</v>
          </cell>
          <cell r="E22" t="str">
            <v>四川太极新都区新繁镇繁江北路药店</v>
          </cell>
          <cell r="F22" t="str">
            <v>否</v>
          </cell>
          <cell r="G22">
            <v>181</v>
          </cell>
          <cell r="H22" t="str">
            <v>西北片区</v>
          </cell>
        </row>
        <row r="23">
          <cell r="D23">
            <v>724</v>
          </cell>
          <cell r="E23" t="str">
            <v>四川太极锦江区观音桥街药店</v>
          </cell>
          <cell r="F23" t="str">
            <v>否</v>
          </cell>
          <cell r="G23">
            <v>232</v>
          </cell>
          <cell r="H23" t="str">
            <v>东南片区</v>
          </cell>
        </row>
        <row r="24">
          <cell r="D24">
            <v>578</v>
          </cell>
          <cell r="E24" t="str">
            <v>四川太极成华区华油路药店</v>
          </cell>
          <cell r="F24" t="str">
            <v>否</v>
          </cell>
          <cell r="G24">
            <v>23</v>
          </cell>
          <cell r="H24" t="str">
            <v>城中片区</v>
          </cell>
        </row>
        <row r="25">
          <cell r="D25">
            <v>742</v>
          </cell>
          <cell r="E25" t="str">
            <v>四川太极锦江区庆云南街药店</v>
          </cell>
          <cell r="F25" t="str">
            <v/>
          </cell>
          <cell r="G25">
            <v>23</v>
          </cell>
          <cell r="H25" t="str">
            <v>城中片区</v>
          </cell>
        </row>
        <row r="26">
          <cell r="D26">
            <v>359</v>
          </cell>
          <cell r="E26" t="str">
            <v>四川太极枣子巷药店</v>
          </cell>
          <cell r="F26" t="str">
            <v>否</v>
          </cell>
          <cell r="G26">
            <v>181</v>
          </cell>
          <cell r="H26" t="str">
            <v>西北片区</v>
          </cell>
        </row>
        <row r="27">
          <cell r="D27">
            <v>399</v>
          </cell>
          <cell r="E27" t="str">
            <v>四川太极高新天久北巷药店</v>
          </cell>
          <cell r="F27" t="str">
            <v>否</v>
          </cell>
          <cell r="G27">
            <v>232</v>
          </cell>
          <cell r="H27" t="str">
            <v>东南片区</v>
          </cell>
        </row>
        <row r="28">
          <cell r="D28">
            <v>726</v>
          </cell>
          <cell r="E28" t="str">
            <v>四川太极金牛区交大路第三药店</v>
          </cell>
          <cell r="F28" t="str">
            <v>否</v>
          </cell>
          <cell r="G28">
            <v>181</v>
          </cell>
          <cell r="H28" t="str">
            <v>西北片区</v>
          </cell>
        </row>
        <row r="29">
          <cell r="D29">
            <v>355</v>
          </cell>
          <cell r="E29" t="str">
            <v>四川太极双林路药店</v>
          </cell>
          <cell r="F29" t="str">
            <v>是</v>
          </cell>
          <cell r="G29">
            <v>23</v>
          </cell>
          <cell r="H29" t="str">
            <v>城中片区</v>
          </cell>
        </row>
        <row r="30">
          <cell r="D30">
            <v>357</v>
          </cell>
          <cell r="E30" t="str">
            <v>四川太极清江东路药店</v>
          </cell>
          <cell r="F30" t="str">
            <v>否</v>
          </cell>
          <cell r="G30">
            <v>181</v>
          </cell>
          <cell r="H30" t="str">
            <v>西北片区</v>
          </cell>
        </row>
        <row r="31">
          <cell r="D31">
            <v>377</v>
          </cell>
          <cell r="E31" t="str">
            <v>四川太极新园大道药店</v>
          </cell>
          <cell r="F31" t="str">
            <v>否</v>
          </cell>
          <cell r="G31">
            <v>232</v>
          </cell>
          <cell r="H31" t="str">
            <v>东南片区</v>
          </cell>
        </row>
        <row r="32">
          <cell r="D32">
            <v>744</v>
          </cell>
          <cell r="E32" t="str">
            <v>四川太极武侯区科华街药店</v>
          </cell>
          <cell r="F32" t="str">
            <v/>
          </cell>
          <cell r="G32">
            <v>23</v>
          </cell>
          <cell r="H32" t="str">
            <v>城中片区</v>
          </cell>
        </row>
        <row r="33">
          <cell r="D33">
            <v>102934</v>
          </cell>
          <cell r="E33" t="str">
            <v>四川太极大药房连锁有限公司金牛区银河北街药店</v>
          </cell>
          <cell r="F33" t="str">
            <v/>
          </cell>
          <cell r="G33">
            <v>181</v>
          </cell>
          <cell r="H33" t="str">
            <v>西北片区</v>
          </cell>
        </row>
        <row r="34">
          <cell r="D34">
            <v>514</v>
          </cell>
          <cell r="E34" t="str">
            <v>四川太极新津邓双镇岷江店</v>
          </cell>
          <cell r="F34" t="str">
            <v>否</v>
          </cell>
          <cell r="G34">
            <v>235</v>
          </cell>
          <cell r="H34" t="str">
            <v>城郊一片区</v>
          </cell>
        </row>
        <row r="35">
          <cell r="D35">
            <v>391</v>
          </cell>
          <cell r="E35" t="str">
            <v>四川太极金丝街药店</v>
          </cell>
          <cell r="F35" t="str">
            <v>否</v>
          </cell>
          <cell r="G35">
            <v>23</v>
          </cell>
          <cell r="H35" t="str">
            <v>城中片区</v>
          </cell>
        </row>
        <row r="36">
          <cell r="D36">
            <v>379</v>
          </cell>
          <cell r="E36" t="str">
            <v>四川太极土龙路药店</v>
          </cell>
          <cell r="F36" t="str">
            <v>否</v>
          </cell>
          <cell r="G36">
            <v>181</v>
          </cell>
          <cell r="H36" t="str">
            <v>西北片区</v>
          </cell>
        </row>
        <row r="37">
          <cell r="D37">
            <v>329</v>
          </cell>
          <cell r="E37" t="str">
            <v>四川太极温江店</v>
          </cell>
          <cell r="F37" t="str">
            <v>是</v>
          </cell>
          <cell r="G37">
            <v>233</v>
          </cell>
          <cell r="H37" t="str">
            <v>城郊二片区</v>
          </cell>
        </row>
        <row r="38">
          <cell r="D38">
            <v>747</v>
          </cell>
          <cell r="E38" t="str">
            <v>四川太极郫县郫筒镇一环路东南段药店</v>
          </cell>
          <cell r="F38" t="str">
            <v/>
          </cell>
          <cell r="G38">
            <v>23</v>
          </cell>
          <cell r="H38" t="str">
            <v>城中片区</v>
          </cell>
        </row>
        <row r="39">
          <cell r="D39">
            <v>308</v>
          </cell>
          <cell r="E39" t="str">
            <v>四川太极红星店</v>
          </cell>
          <cell r="F39" t="str">
            <v>是</v>
          </cell>
          <cell r="G39">
            <v>23</v>
          </cell>
          <cell r="H39" t="str">
            <v>城中片区</v>
          </cell>
        </row>
        <row r="40">
          <cell r="D40">
            <v>746</v>
          </cell>
          <cell r="E40" t="str">
            <v>四川太极大邑县晋原镇内蒙古大道桃源药店</v>
          </cell>
          <cell r="F40" t="str">
            <v>否</v>
          </cell>
          <cell r="G40">
            <v>235</v>
          </cell>
          <cell r="H40" t="str">
            <v>城郊一片区</v>
          </cell>
        </row>
        <row r="41">
          <cell r="D41">
            <v>515</v>
          </cell>
          <cell r="E41" t="str">
            <v>四川太极成华区崔家店路药店</v>
          </cell>
          <cell r="F41" t="str">
            <v>否</v>
          </cell>
          <cell r="G41">
            <v>23</v>
          </cell>
          <cell r="H41" t="str">
            <v>城中片区</v>
          </cell>
        </row>
        <row r="42">
          <cell r="D42">
            <v>572</v>
          </cell>
          <cell r="E42" t="str">
            <v>四川太极郫县郫筒镇东大街药店</v>
          </cell>
          <cell r="F42" t="str">
            <v>否</v>
          </cell>
          <cell r="G42">
            <v>23</v>
          </cell>
          <cell r="H42" t="str">
            <v>城中片区</v>
          </cell>
        </row>
        <row r="43">
          <cell r="D43">
            <v>754</v>
          </cell>
          <cell r="E43" t="str">
            <v>四川太极崇州市崇阳镇尚贤坊街药店</v>
          </cell>
          <cell r="F43" t="str">
            <v/>
          </cell>
          <cell r="G43">
            <v>233</v>
          </cell>
          <cell r="H43" t="str">
            <v>城郊二片区</v>
          </cell>
        </row>
        <row r="44">
          <cell r="D44">
            <v>511</v>
          </cell>
          <cell r="E44" t="str">
            <v>四川太极成华杉板桥南一路店</v>
          </cell>
          <cell r="F44" t="str">
            <v>否</v>
          </cell>
          <cell r="G44">
            <v>23</v>
          </cell>
          <cell r="H44" t="str">
            <v>城中片区</v>
          </cell>
        </row>
        <row r="45">
          <cell r="D45">
            <v>349</v>
          </cell>
          <cell r="E45" t="str">
            <v>四川太极人民中路店</v>
          </cell>
          <cell r="F45" t="str">
            <v>否</v>
          </cell>
          <cell r="G45">
            <v>23</v>
          </cell>
          <cell r="H45" t="str">
            <v>城中片区</v>
          </cell>
        </row>
        <row r="46">
          <cell r="D46">
            <v>598</v>
          </cell>
          <cell r="E46" t="str">
            <v>四川太极锦江区水杉街药店</v>
          </cell>
          <cell r="F46" t="str">
            <v>否</v>
          </cell>
          <cell r="G46">
            <v>232</v>
          </cell>
          <cell r="H46" t="str">
            <v>东南片区</v>
          </cell>
        </row>
        <row r="47">
          <cell r="D47">
            <v>737</v>
          </cell>
          <cell r="E47" t="str">
            <v>四川太极高新区大源北街药店</v>
          </cell>
          <cell r="F47" t="str">
            <v>否</v>
          </cell>
          <cell r="G47">
            <v>232</v>
          </cell>
          <cell r="H47" t="str">
            <v>东南片区</v>
          </cell>
        </row>
        <row r="48">
          <cell r="D48">
            <v>351</v>
          </cell>
          <cell r="E48" t="str">
            <v>四川太极都江堰药店</v>
          </cell>
          <cell r="F48" t="str">
            <v>是</v>
          </cell>
          <cell r="G48">
            <v>233</v>
          </cell>
          <cell r="H48" t="str">
            <v>城郊二片区</v>
          </cell>
        </row>
        <row r="49">
          <cell r="D49">
            <v>101453</v>
          </cell>
          <cell r="E49" t="str">
            <v>四川太极温江区公平街道江安路药店</v>
          </cell>
          <cell r="F49" t="str">
            <v/>
          </cell>
          <cell r="G49">
            <v>233</v>
          </cell>
          <cell r="H49" t="str">
            <v>城郊二片区</v>
          </cell>
        </row>
        <row r="50">
          <cell r="D50">
            <v>52</v>
          </cell>
          <cell r="E50" t="str">
            <v>四川太极崇州中心店</v>
          </cell>
          <cell r="F50" t="str">
            <v>是</v>
          </cell>
          <cell r="G50">
            <v>233</v>
          </cell>
          <cell r="H50" t="str">
            <v>城郊二片区</v>
          </cell>
        </row>
        <row r="51">
          <cell r="D51">
            <v>367</v>
          </cell>
          <cell r="E51" t="str">
            <v>四川太极金带街药店</v>
          </cell>
          <cell r="F51" t="str">
            <v>否</v>
          </cell>
          <cell r="G51">
            <v>233</v>
          </cell>
          <cell r="H51" t="str">
            <v>城郊二片区</v>
          </cell>
        </row>
        <row r="52">
          <cell r="D52">
            <v>587</v>
          </cell>
          <cell r="E52" t="str">
            <v>四川太极都江堰景中路店</v>
          </cell>
          <cell r="F52" t="str">
            <v>否</v>
          </cell>
          <cell r="G52">
            <v>233</v>
          </cell>
          <cell r="H52" t="str">
            <v>城郊二片区</v>
          </cell>
        </row>
        <row r="53">
          <cell r="D53">
            <v>704</v>
          </cell>
          <cell r="E53" t="str">
            <v>四川太极都江堰奎光路中段药店</v>
          </cell>
          <cell r="F53" t="str">
            <v>否</v>
          </cell>
          <cell r="G53">
            <v>233</v>
          </cell>
          <cell r="H53" t="str">
            <v>城郊二片区</v>
          </cell>
        </row>
        <row r="54">
          <cell r="D54">
            <v>103198</v>
          </cell>
          <cell r="E54" t="str">
            <v>四川太极大药房连锁有限公司青羊区贝森北路药店</v>
          </cell>
          <cell r="F54" t="str">
            <v/>
          </cell>
          <cell r="G54">
            <v>181</v>
          </cell>
          <cell r="H54" t="str">
            <v>西北片区</v>
          </cell>
        </row>
        <row r="55">
          <cell r="D55">
            <v>347</v>
          </cell>
          <cell r="E55" t="str">
            <v>四川太极清江东路2药店</v>
          </cell>
          <cell r="F55" t="str">
            <v>是</v>
          </cell>
          <cell r="G55">
            <v>181</v>
          </cell>
          <cell r="H55" t="str">
            <v>西北片区</v>
          </cell>
        </row>
        <row r="56">
          <cell r="D56">
            <v>721</v>
          </cell>
          <cell r="E56" t="str">
            <v>四川太极邛崃市临邛镇洪川小区药店</v>
          </cell>
          <cell r="F56" t="str">
            <v>否</v>
          </cell>
          <cell r="G56">
            <v>235</v>
          </cell>
          <cell r="H56" t="str">
            <v>城郊一片区</v>
          </cell>
        </row>
        <row r="57">
          <cell r="D57">
            <v>745</v>
          </cell>
          <cell r="E57" t="str">
            <v>四川太极金牛区金沙路药店</v>
          </cell>
          <cell r="F57" t="str">
            <v/>
          </cell>
          <cell r="G57">
            <v>181</v>
          </cell>
          <cell r="H57" t="str">
            <v>西北片区</v>
          </cell>
        </row>
        <row r="58">
          <cell r="D58">
            <v>570</v>
          </cell>
          <cell r="E58" t="str">
            <v>四川太极青羊区浣花滨河路药店</v>
          </cell>
          <cell r="F58" t="str">
            <v>否</v>
          </cell>
          <cell r="G58">
            <v>181</v>
          </cell>
          <cell r="H58" t="str">
            <v>西北片区</v>
          </cell>
        </row>
        <row r="59">
          <cell r="D59">
            <v>584</v>
          </cell>
          <cell r="E59" t="str">
            <v>四川太极高新区中和街道柳荫街药店</v>
          </cell>
          <cell r="F59" t="str">
            <v>否</v>
          </cell>
          <cell r="G59">
            <v>232</v>
          </cell>
          <cell r="H59" t="str">
            <v>东南片区</v>
          </cell>
        </row>
        <row r="60">
          <cell r="D60">
            <v>102565</v>
          </cell>
          <cell r="E60" t="str">
            <v>四川太极武侯区佳灵路药店</v>
          </cell>
          <cell r="F60" t="str">
            <v/>
          </cell>
          <cell r="G60">
            <v>181</v>
          </cell>
          <cell r="H60" t="str">
            <v>西北片区</v>
          </cell>
        </row>
        <row r="61">
          <cell r="D61">
            <v>748</v>
          </cell>
          <cell r="E61" t="str">
            <v>四川太极大邑县晋原镇东街药店</v>
          </cell>
          <cell r="F61" t="str">
            <v/>
          </cell>
          <cell r="G61">
            <v>235</v>
          </cell>
          <cell r="H61" t="str">
            <v>城郊一片区</v>
          </cell>
        </row>
        <row r="62">
          <cell r="D62">
            <v>102935</v>
          </cell>
          <cell r="E62" t="str">
            <v>四川太极大药房连锁有限公司青羊区童子街药店</v>
          </cell>
          <cell r="F62" t="str">
            <v/>
          </cell>
          <cell r="G62">
            <v>23</v>
          </cell>
          <cell r="H62" t="str">
            <v>城中片区</v>
          </cell>
        </row>
        <row r="63">
          <cell r="D63">
            <v>339</v>
          </cell>
          <cell r="E63" t="str">
            <v>四川太极沙河源药店</v>
          </cell>
          <cell r="F63" t="str">
            <v>是</v>
          </cell>
          <cell r="G63">
            <v>181</v>
          </cell>
          <cell r="H63" t="str">
            <v>西北片区</v>
          </cell>
        </row>
        <row r="64">
          <cell r="D64">
            <v>743</v>
          </cell>
          <cell r="E64" t="str">
            <v>四川太极成华区万宇路药店</v>
          </cell>
          <cell r="F64" t="str">
            <v/>
          </cell>
          <cell r="G64">
            <v>232</v>
          </cell>
          <cell r="H64" t="str">
            <v>东南片区</v>
          </cell>
        </row>
        <row r="65">
          <cell r="D65">
            <v>573</v>
          </cell>
          <cell r="E65" t="str">
            <v>四川太极双流县西航港街道锦华路一段药店</v>
          </cell>
          <cell r="F65" t="str">
            <v>否</v>
          </cell>
          <cell r="G65">
            <v>232</v>
          </cell>
          <cell r="H65" t="str">
            <v>东南片区</v>
          </cell>
        </row>
        <row r="66">
          <cell r="D66">
            <v>311</v>
          </cell>
          <cell r="E66" t="str">
            <v>四川太极西部店</v>
          </cell>
          <cell r="F66" t="str">
            <v>是</v>
          </cell>
          <cell r="G66">
            <v>181</v>
          </cell>
          <cell r="H66" t="str">
            <v>西北片区</v>
          </cell>
        </row>
        <row r="67">
          <cell r="D67">
            <v>549</v>
          </cell>
          <cell r="E67" t="str">
            <v>四川太极大邑县晋源镇东壕沟段药店</v>
          </cell>
          <cell r="F67" t="str">
            <v>否</v>
          </cell>
          <cell r="G67">
            <v>235</v>
          </cell>
          <cell r="H67" t="str">
            <v>城郊一片区</v>
          </cell>
        </row>
        <row r="68">
          <cell r="D68">
            <v>727</v>
          </cell>
          <cell r="E68" t="str">
            <v>四川太极金牛区黄苑东街药店</v>
          </cell>
          <cell r="F68" t="str">
            <v>否</v>
          </cell>
          <cell r="G68">
            <v>181</v>
          </cell>
          <cell r="H68" t="str">
            <v>西北片区</v>
          </cell>
        </row>
        <row r="69">
          <cell r="D69">
            <v>102479</v>
          </cell>
          <cell r="E69" t="str">
            <v>四川太极锦江区劼人路药店</v>
          </cell>
          <cell r="F69" t="str">
            <v/>
          </cell>
          <cell r="G69">
            <v>23</v>
          </cell>
          <cell r="H69" t="str">
            <v>城中片区</v>
          </cell>
        </row>
        <row r="70">
          <cell r="D70">
            <v>539</v>
          </cell>
          <cell r="E70" t="str">
            <v>四川太极大邑县晋原镇子龙路店</v>
          </cell>
          <cell r="F70" t="str">
            <v>否</v>
          </cell>
          <cell r="G70">
            <v>235</v>
          </cell>
          <cell r="H70" t="str">
            <v>城郊一片区</v>
          </cell>
        </row>
        <row r="71">
          <cell r="D71">
            <v>591</v>
          </cell>
          <cell r="E71" t="str">
            <v>四川太极邛崃市临邛镇长安大道药店</v>
          </cell>
          <cell r="F71" t="str">
            <v>否</v>
          </cell>
          <cell r="G71">
            <v>235</v>
          </cell>
          <cell r="H71" t="str">
            <v>城郊一片区</v>
          </cell>
        </row>
        <row r="72">
          <cell r="D72">
            <v>716</v>
          </cell>
          <cell r="E72" t="str">
            <v>四川太极大邑县沙渠镇方圆路药店</v>
          </cell>
          <cell r="F72" t="str">
            <v>否</v>
          </cell>
          <cell r="G72">
            <v>235</v>
          </cell>
          <cell r="H72" t="str">
            <v>城郊一片区</v>
          </cell>
        </row>
        <row r="73">
          <cell r="D73">
            <v>752</v>
          </cell>
          <cell r="E73" t="str">
            <v>四川太极大药房连锁有限公司武侯区聚萃街药店</v>
          </cell>
          <cell r="F73" t="str">
            <v/>
          </cell>
          <cell r="G73">
            <v>181</v>
          </cell>
          <cell r="H73" t="str">
            <v>西北片区</v>
          </cell>
        </row>
        <row r="74">
          <cell r="D74">
            <v>733</v>
          </cell>
          <cell r="E74" t="str">
            <v>四川太极双流区东升街道三强西路药店</v>
          </cell>
          <cell r="F74" t="str">
            <v>否</v>
          </cell>
          <cell r="G74">
            <v>232</v>
          </cell>
          <cell r="H74" t="str">
            <v>东南片区</v>
          </cell>
        </row>
        <row r="75">
          <cell r="D75">
            <v>740</v>
          </cell>
          <cell r="E75" t="str">
            <v>四川太极成华区华康路药店</v>
          </cell>
          <cell r="F75" t="str">
            <v/>
          </cell>
          <cell r="G75">
            <v>232</v>
          </cell>
          <cell r="H75" t="str">
            <v>东南片区</v>
          </cell>
        </row>
        <row r="76">
          <cell r="D76">
            <v>738</v>
          </cell>
          <cell r="E76" t="str">
            <v>四川太极都江堰市蒲阳路药店</v>
          </cell>
          <cell r="F76" t="str">
            <v>否</v>
          </cell>
          <cell r="G76">
            <v>233</v>
          </cell>
          <cell r="H76" t="str">
            <v>城郊二片区</v>
          </cell>
        </row>
        <row r="77">
          <cell r="D77">
            <v>56</v>
          </cell>
          <cell r="E77" t="str">
            <v>四川太极三江店</v>
          </cell>
          <cell r="F77" t="str">
            <v>是</v>
          </cell>
          <cell r="G77">
            <v>233</v>
          </cell>
          <cell r="H77" t="str">
            <v>城郊二片区</v>
          </cell>
        </row>
        <row r="78">
          <cell r="D78">
            <v>718</v>
          </cell>
          <cell r="E78" t="str">
            <v>四川太极龙泉驿区龙泉街道驿生路药店</v>
          </cell>
          <cell r="F78" t="str">
            <v>否</v>
          </cell>
          <cell r="G78">
            <v>23</v>
          </cell>
          <cell r="H78" t="str">
            <v>城中片区</v>
          </cell>
        </row>
        <row r="79">
          <cell r="D79">
            <v>720</v>
          </cell>
          <cell r="E79" t="str">
            <v>四川太极大邑县新场镇文昌街药店</v>
          </cell>
          <cell r="F79" t="str">
            <v>否</v>
          </cell>
          <cell r="G79">
            <v>235</v>
          </cell>
          <cell r="H79" t="str">
            <v>城郊一片区</v>
          </cell>
        </row>
        <row r="80">
          <cell r="D80">
            <v>54</v>
          </cell>
          <cell r="E80" t="str">
            <v>四川太极怀远店</v>
          </cell>
          <cell r="F80" t="str">
            <v>是</v>
          </cell>
          <cell r="G80">
            <v>233</v>
          </cell>
          <cell r="H80" t="str">
            <v>城郊二片区</v>
          </cell>
        </row>
        <row r="81">
          <cell r="D81">
            <v>723</v>
          </cell>
          <cell r="E81" t="str">
            <v>四川太极锦江区柳翠路药店</v>
          </cell>
          <cell r="F81" t="str">
            <v>否</v>
          </cell>
          <cell r="G81">
            <v>23</v>
          </cell>
          <cell r="H81" t="str">
            <v>城中片区</v>
          </cell>
        </row>
        <row r="82">
          <cell r="D82">
            <v>594</v>
          </cell>
          <cell r="E82" t="str">
            <v>四川太极大邑县安仁镇千禧街药店</v>
          </cell>
          <cell r="F82" t="str">
            <v>否</v>
          </cell>
          <cell r="G82">
            <v>235</v>
          </cell>
          <cell r="H82" t="str">
            <v>城郊一片区</v>
          </cell>
        </row>
        <row r="83">
          <cell r="D83">
            <v>545</v>
          </cell>
          <cell r="E83" t="str">
            <v>四川太极龙潭西路店</v>
          </cell>
          <cell r="F83" t="str">
            <v>是</v>
          </cell>
          <cell r="G83">
            <v>232</v>
          </cell>
          <cell r="H83" t="str">
            <v>东南片区</v>
          </cell>
        </row>
        <row r="84">
          <cell r="D84">
            <v>103639</v>
          </cell>
          <cell r="E84" t="str">
            <v>四川太极成华区金马河路药店</v>
          </cell>
          <cell r="F84" t="str">
            <v/>
          </cell>
          <cell r="G84">
            <v>232</v>
          </cell>
          <cell r="H84" t="str">
            <v>东南片区</v>
          </cell>
        </row>
        <row r="85">
          <cell r="D85">
            <v>371</v>
          </cell>
          <cell r="E85" t="str">
            <v>四川太极兴义镇万兴路药店</v>
          </cell>
          <cell r="F85" t="str">
            <v>否</v>
          </cell>
          <cell r="G85">
            <v>235</v>
          </cell>
          <cell r="H85" t="str">
            <v>城郊一片区</v>
          </cell>
        </row>
        <row r="86">
          <cell r="D86">
            <v>103199</v>
          </cell>
          <cell r="E86" t="str">
            <v>四川太极大药房连锁有限公司成华区西林一街药店</v>
          </cell>
          <cell r="F86" t="str">
            <v/>
          </cell>
          <cell r="G86">
            <v>181</v>
          </cell>
          <cell r="H86" t="str">
            <v>西北片区</v>
          </cell>
        </row>
        <row r="87">
          <cell r="D87">
            <v>102567</v>
          </cell>
          <cell r="E87" t="str">
            <v>四川太极新津县五津镇武阳西路药店</v>
          </cell>
          <cell r="F87" t="str">
            <v/>
          </cell>
          <cell r="G87">
            <v>235</v>
          </cell>
          <cell r="H87" t="str">
            <v>城郊一片区</v>
          </cell>
        </row>
        <row r="88">
          <cell r="D88">
            <v>710</v>
          </cell>
          <cell r="E88" t="str">
            <v>四川太极都江堰市蒲阳镇堰问道西路药店</v>
          </cell>
          <cell r="F88" t="str">
            <v>否</v>
          </cell>
          <cell r="G88">
            <v>233</v>
          </cell>
          <cell r="H88" t="str">
            <v>城郊二片区</v>
          </cell>
        </row>
        <row r="89">
          <cell r="D89">
            <v>337</v>
          </cell>
          <cell r="E89" t="str">
            <v>四川太极浆洗街药店</v>
          </cell>
          <cell r="F89" t="str">
            <v>是</v>
          </cell>
          <cell r="G89">
            <v>23</v>
          </cell>
          <cell r="H89" t="str">
            <v>城中片区</v>
          </cell>
        </row>
        <row r="90">
          <cell r="D90">
            <v>732</v>
          </cell>
          <cell r="E90" t="str">
            <v>四川太极邛崃市羊安镇永康大道药店</v>
          </cell>
          <cell r="F90" t="str">
            <v>否</v>
          </cell>
          <cell r="G90">
            <v>235</v>
          </cell>
          <cell r="H90" t="str">
            <v>城郊一片区</v>
          </cell>
        </row>
        <row r="91">
          <cell r="D91">
            <v>753</v>
          </cell>
          <cell r="E91" t="str">
            <v>四川太极锦江区合欢树街药店</v>
          </cell>
          <cell r="F91" t="str">
            <v/>
          </cell>
          <cell r="G91">
            <v>232</v>
          </cell>
          <cell r="H91" t="str">
            <v>东南片区</v>
          </cell>
        </row>
        <row r="92">
          <cell r="D92">
            <v>717</v>
          </cell>
          <cell r="E92" t="str">
            <v>四川太极大邑县晋原镇通达东路五段药店</v>
          </cell>
          <cell r="F92" t="str">
            <v>否</v>
          </cell>
          <cell r="G92">
            <v>235</v>
          </cell>
          <cell r="H92" t="str">
            <v>城郊一片区</v>
          </cell>
        </row>
        <row r="93">
          <cell r="D93">
            <v>102478</v>
          </cell>
          <cell r="E93" t="str">
            <v>四川太极锦江区静明路药店</v>
          </cell>
          <cell r="F93" t="str">
            <v/>
          </cell>
          <cell r="G93">
            <v>23</v>
          </cell>
          <cell r="H93" t="str">
            <v>城中片区</v>
          </cell>
        </row>
        <row r="94">
          <cell r="D94">
            <v>741</v>
          </cell>
          <cell r="E94" t="str">
            <v>四川太极成华区新怡路店</v>
          </cell>
          <cell r="F94" t="str">
            <v/>
          </cell>
          <cell r="G94">
            <v>181</v>
          </cell>
          <cell r="H94" t="str">
            <v>西北片区</v>
          </cell>
        </row>
        <row r="95">
          <cell r="D95">
            <v>713</v>
          </cell>
          <cell r="E95" t="str">
            <v>四川太极都江堰聚源镇药店</v>
          </cell>
          <cell r="F95" t="str">
            <v>否</v>
          </cell>
          <cell r="G95">
            <v>233</v>
          </cell>
          <cell r="H95" t="str">
            <v>城郊二片区</v>
          </cell>
        </row>
        <row r="96">
          <cell r="D96">
            <v>102564</v>
          </cell>
          <cell r="E96" t="str">
            <v>四川太极邛崃市临邛镇翠荫街药店</v>
          </cell>
          <cell r="F96" t="str">
            <v/>
          </cell>
          <cell r="G96">
            <v>235</v>
          </cell>
          <cell r="H96" t="str">
            <v>城郊一片区</v>
          </cell>
        </row>
        <row r="97">
          <cell r="D97">
            <v>706</v>
          </cell>
          <cell r="E97" t="str">
            <v>四川太极都江堰幸福镇翔凤路药店</v>
          </cell>
          <cell r="F97" t="str">
            <v>否</v>
          </cell>
          <cell r="G97">
            <v>233</v>
          </cell>
          <cell r="H97" t="str">
            <v>城郊二片区</v>
          </cell>
        </row>
        <row r="98">
          <cell r="D98">
            <v>104428</v>
          </cell>
          <cell r="E98" t="str">
            <v>四川太极崇州市崇阳镇永康东路药店 </v>
          </cell>
          <cell r="F98" t="str">
            <v/>
          </cell>
          <cell r="G98">
            <v>233</v>
          </cell>
          <cell r="H98" t="str">
            <v>城郊二片区</v>
          </cell>
        </row>
        <row r="99">
          <cell r="D99">
            <v>755</v>
          </cell>
          <cell r="E99" t="str">
            <v>四川太极温江区柳城街道鱼凫路药店</v>
          </cell>
          <cell r="F99" t="str">
            <v/>
          </cell>
          <cell r="G99">
            <v>233</v>
          </cell>
          <cell r="H99" t="str">
            <v>城郊二片区</v>
          </cell>
        </row>
        <row r="100">
          <cell r="D100">
            <v>104429</v>
          </cell>
          <cell r="E100" t="str">
            <v>四川太极武侯区大华街药店</v>
          </cell>
          <cell r="F100" t="str">
            <v/>
          </cell>
          <cell r="G100">
            <v>181</v>
          </cell>
          <cell r="H100" t="str">
            <v>西北片区</v>
          </cell>
        </row>
        <row r="101">
          <cell r="D101">
            <v>104430</v>
          </cell>
          <cell r="E101" t="str">
            <v>四川太极高新区中和大道药店</v>
          </cell>
          <cell r="F101" t="str">
            <v/>
          </cell>
          <cell r="G101">
            <v>232</v>
          </cell>
          <cell r="H101" t="str">
            <v>东南片区</v>
          </cell>
        </row>
        <row r="102">
          <cell r="D102" t="str">
            <v>合计</v>
          </cell>
          <cell r="E102" t="str">
            <v/>
          </cell>
          <cell r="F102" t="str">
            <v/>
          </cell>
          <cell r="G102" t="str">
            <v/>
          </cell>
          <cell r="H102" t="str">
            <v/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7"/>
      <sheetName val="查询时间段分门店销售明细"/>
      <sheetName val="Sheet2"/>
      <sheetName val="丹参+通脉"/>
      <sheetName val="Sheet4"/>
      <sheetName val="Sheet3"/>
      <sheetName val="Sheet6"/>
      <sheetName val="氨糖"/>
      <sheetName val="Sheet9"/>
      <sheetName val="Sheet8"/>
      <sheetName val="Sheet10"/>
      <sheetName val="补肾确定版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G1" t="str">
            <v>门店ID</v>
          </cell>
          <cell r="H1" t="str">
            <v>汇总</v>
          </cell>
        </row>
        <row r="2">
          <cell r="G2">
            <v>52</v>
          </cell>
          <cell r="H2">
            <v>13</v>
          </cell>
        </row>
        <row r="3">
          <cell r="G3">
            <v>54</v>
          </cell>
          <cell r="H3">
            <v>14</v>
          </cell>
        </row>
        <row r="4">
          <cell r="G4">
            <v>56</v>
          </cell>
          <cell r="H4">
            <v>9</v>
          </cell>
        </row>
        <row r="5">
          <cell r="G5">
            <v>307</v>
          </cell>
          <cell r="H5">
            <v>144</v>
          </cell>
        </row>
        <row r="6">
          <cell r="G6">
            <v>308</v>
          </cell>
          <cell r="H6">
            <v>4</v>
          </cell>
        </row>
        <row r="7">
          <cell r="G7">
            <v>311</v>
          </cell>
          <cell r="H7">
            <v>3</v>
          </cell>
        </row>
        <row r="8">
          <cell r="G8">
            <v>329</v>
          </cell>
          <cell r="H8">
            <v>25</v>
          </cell>
        </row>
        <row r="9">
          <cell r="G9">
            <v>339</v>
          </cell>
          <cell r="H9">
            <v>11</v>
          </cell>
        </row>
        <row r="10">
          <cell r="G10">
            <v>341</v>
          </cell>
          <cell r="H10">
            <v>23</v>
          </cell>
        </row>
        <row r="11">
          <cell r="G11">
            <v>343</v>
          </cell>
          <cell r="H11">
            <v>23</v>
          </cell>
        </row>
        <row r="12">
          <cell r="G12">
            <v>347</v>
          </cell>
          <cell r="H12">
            <v>14</v>
          </cell>
        </row>
        <row r="13">
          <cell r="G13">
            <v>349</v>
          </cell>
          <cell r="H13">
            <v>7</v>
          </cell>
        </row>
        <row r="14">
          <cell r="G14">
            <v>351</v>
          </cell>
          <cell r="H14">
            <v>6</v>
          </cell>
        </row>
        <row r="15">
          <cell r="G15">
            <v>355</v>
          </cell>
          <cell r="H15">
            <v>7</v>
          </cell>
        </row>
        <row r="16">
          <cell r="G16">
            <v>357</v>
          </cell>
          <cell r="H16">
            <v>5</v>
          </cell>
        </row>
        <row r="17">
          <cell r="G17">
            <v>359</v>
          </cell>
          <cell r="H17">
            <v>16</v>
          </cell>
        </row>
        <row r="18">
          <cell r="G18">
            <v>365</v>
          </cell>
          <cell r="H18">
            <v>20</v>
          </cell>
        </row>
        <row r="19">
          <cell r="G19">
            <v>367</v>
          </cell>
          <cell r="H19">
            <v>12</v>
          </cell>
        </row>
        <row r="20">
          <cell r="G20">
            <v>373</v>
          </cell>
          <cell r="H20">
            <v>13</v>
          </cell>
        </row>
        <row r="21">
          <cell r="G21">
            <v>377</v>
          </cell>
          <cell r="H21">
            <v>7</v>
          </cell>
        </row>
        <row r="22">
          <cell r="G22">
            <v>379</v>
          </cell>
          <cell r="H22">
            <v>12</v>
          </cell>
        </row>
        <row r="23">
          <cell r="G23">
            <v>385</v>
          </cell>
          <cell r="H23">
            <v>8</v>
          </cell>
        </row>
        <row r="24">
          <cell r="G24">
            <v>387</v>
          </cell>
          <cell r="H24">
            <v>9</v>
          </cell>
        </row>
        <row r="25">
          <cell r="G25">
            <v>391</v>
          </cell>
          <cell r="H25">
            <v>9</v>
          </cell>
        </row>
        <row r="26">
          <cell r="G26">
            <v>399</v>
          </cell>
          <cell r="H26">
            <v>19</v>
          </cell>
        </row>
        <row r="27">
          <cell r="G27">
            <v>511</v>
          </cell>
          <cell r="H27">
            <v>1</v>
          </cell>
        </row>
        <row r="28">
          <cell r="G28">
            <v>513</v>
          </cell>
          <cell r="H28">
            <v>5</v>
          </cell>
        </row>
        <row r="29">
          <cell r="G29">
            <v>514</v>
          </cell>
          <cell r="H29">
            <v>20</v>
          </cell>
        </row>
        <row r="30">
          <cell r="G30">
            <v>515</v>
          </cell>
          <cell r="H30">
            <v>8</v>
          </cell>
        </row>
        <row r="31">
          <cell r="G31">
            <v>517</v>
          </cell>
          <cell r="H31">
            <v>12</v>
          </cell>
        </row>
        <row r="32">
          <cell r="G32">
            <v>539</v>
          </cell>
          <cell r="H32">
            <v>7</v>
          </cell>
        </row>
        <row r="33">
          <cell r="G33">
            <v>545</v>
          </cell>
          <cell r="H33">
            <v>2</v>
          </cell>
        </row>
        <row r="34">
          <cell r="G34">
            <v>546</v>
          </cell>
          <cell r="H34">
            <v>13</v>
          </cell>
        </row>
        <row r="35">
          <cell r="G35">
            <v>549</v>
          </cell>
          <cell r="H35">
            <v>18</v>
          </cell>
        </row>
        <row r="36">
          <cell r="G36">
            <v>570</v>
          </cell>
          <cell r="H36">
            <v>2</v>
          </cell>
        </row>
        <row r="37">
          <cell r="G37">
            <v>571</v>
          </cell>
          <cell r="H37">
            <v>24</v>
          </cell>
        </row>
        <row r="38">
          <cell r="G38">
            <v>572</v>
          </cell>
          <cell r="H38">
            <v>15</v>
          </cell>
        </row>
        <row r="39">
          <cell r="G39">
            <v>573</v>
          </cell>
          <cell r="H39">
            <v>7</v>
          </cell>
        </row>
        <row r="40">
          <cell r="G40">
            <v>578</v>
          </cell>
          <cell r="H40">
            <v>18</v>
          </cell>
        </row>
        <row r="41">
          <cell r="G41">
            <v>581</v>
          </cell>
          <cell r="H41">
            <v>12</v>
          </cell>
        </row>
        <row r="42">
          <cell r="G42">
            <v>582</v>
          </cell>
          <cell r="H42">
            <v>19</v>
          </cell>
        </row>
        <row r="43">
          <cell r="G43">
            <v>584</v>
          </cell>
          <cell r="H43">
            <v>2</v>
          </cell>
        </row>
        <row r="44">
          <cell r="G44">
            <v>585</v>
          </cell>
          <cell r="H44">
            <v>26</v>
          </cell>
        </row>
        <row r="45">
          <cell r="G45">
            <v>587</v>
          </cell>
          <cell r="H45">
            <v>9</v>
          </cell>
        </row>
        <row r="46">
          <cell r="G46">
            <v>591</v>
          </cell>
          <cell r="H46">
            <v>7</v>
          </cell>
        </row>
        <row r="47">
          <cell r="G47">
            <v>594</v>
          </cell>
          <cell r="H47">
            <v>6</v>
          </cell>
        </row>
        <row r="48">
          <cell r="G48">
            <v>598</v>
          </cell>
          <cell r="H48">
            <v>18</v>
          </cell>
        </row>
        <row r="49">
          <cell r="G49">
            <v>704</v>
          </cell>
          <cell r="H49">
            <v>10</v>
          </cell>
        </row>
        <row r="50">
          <cell r="G50">
            <v>706</v>
          </cell>
          <cell r="H50">
            <v>1</v>
          </cell>
        </row>
        <row r="51">
          <cell r="G51">
            <v>707</v>
          </cell>
          <cell r="H51">
            <v>16</v>
          </cell>
        </row>
        <row r="52">
          <cell r="G52">
            <v>709</v>
          </cell>
          <cell r="H52">
            <v>17</v>
          </cell>
        </row>
        <row r="53">
          <cell r="G53">
            <v>710</v>
          </cell>
          <cell r="H53">
            <v>7</v>
          </cell>
        </row>
        <row r="54">
          <cell r="G54">
            <v>712</v>
          </cell>
          <cell r="H54">
            <v>14</v>
          </cell>
        </row>
        <row r="55">
          <cell r="G55">
            <v>713</v>
          </cell>
          <cell r="H55">
            <v>2</v>
          </cell>
        </row>
        <row r="56">
          <cell r="G56">
            <v>716</v>
          </cell>
          <cell r="H56">
            <v>7</v>
          </cell>
        </row>
        <row r="57">
          <cell r="G57">
            <v>717</v>
          </cell>
          <cell r="H57">
            <v>2</v>
          </cell>
        </row>
        <row r="58">
          <cell r="G58">
            <v>718</v>
          </cell>
          <cell r="H58">
            <v>18</v>
          </cell>
        </row>
        <row r="59">
          <cell r="G59">
            <v>721</v>
          </cell>
          <cell r="H59">
            <v>9</v>
          </cell>
        </row>
        <row r="60">
          <cell r="G60">
            <v>723</v>
          </cell>
          <cell r="H60">
            <v>4</v>
          </cell>
        </row>
        <row r="61">
          <cell r="G61">
            <v>724</v>
          </cell>
          <cell r="H61">
            <v>10</v>
          </cell>
        </row>
        <row r="62">
          <cell r="G62">
            <v>726</v>
          </cell>
          <cell r="H62">
            <v>10</v>
          </cell>
        </row>
        <row r="63">
          <cell r="G63">
            <v>727</v>
          </cell>
          <cell r="H63">
            <v>4</v>
          </cell>
        </row>
        <row r="64">
          <cell r="G64">
            <v>730</v>
          </cell>
          <cell r="H64">
            <v>8</v>
          </cell>
        </row>
        <row r="65">
          <cell r="G65">
            <v>732</v>
          </cell>
          <cell r="H65">
            <v>6</v>
          </cell>
        </row>
        <row r="66">
          <cell r="G66">
            <v>733</v>
          </cell>
          <cell r="H66">
            <v>12</v>
          </cell>
        </row>
        <row r="67">
          <cell r="G67">
            <v>737</v>
          </cell>
          <cell r="H67">
            <v>13</v>
          </cell>
        </row>
        <row r="68">
          <cell r="G68">
            <v>738</v>
          </cell>
          <cell r="H68">
            <v>8</v>
          </cell>
        </row>
        <row r="69">
          <cell r="G69">
            <v>740</v>
          </cell>
          <cell r="H69">
            <v>4</v>
          </cell>
        </row>
        <row r="70">
          <cell r="G70">
            <v>742</v>
          </cell>
          <cell r="H70">
            <v>7</v>
          </cell>
        </row>
        <row r="71">
          <cell r="G71">
            <v>743</v>
          </cell>
          <cell r="H71">
            <v>7</v>
          </cell>
        </row>
        <row r="72">
          <cell r="G72">
            <v>744</v>
          </cell>
          <cell r="H72">
            <v>10</v>
          </cell>
        </row>
        <row r="73">
          <cell r="G73">
            <v>745</v>
          </cell>
          <cell r="H73">
            <v>16</v>
          </cell>
        </row>
        <row r="74">
          <cell r="G74">
            <v>746</v>
          </cell>
          <cell r="H74">
            <v>2</v>
          </cell>
        </row>
        <row r="75">
          <cell r="G75">
            <v>747</v>
          </cell>
          <cell r="H75">
            <v>8</v>
          </cell>
        </row>
        <row r="76">
          <cell r="G76">
            <v>748</v>
          </cell>
          <cell r="H76">
            <v>6</v>
          </cell>
        </row>
        <row r="77">
          <cell r="G77">
            <v>750</v>
          </cell>
          <cell r="H77">
            <v>25</v>
          </cell>
        </row>
        <row r="78">
          <cell r="G78">
            <v>752</v>
          </cell>
          <cell r="H78">
            <v>9</v>
          </cell>
        </row>
        <row r="79">
          <cell r="G79">
            <v>754</v>
          </cell>
          <cell r="H79">
            <v>6</v>
          </cell>
        </row>
        <row r="80">
          <cell r="G80">
            <v>101453</v>
          </cell>
          <cell r="H80">
            <v>4</v>
          </cell>
        </row>
        <row r="81">
          <cell r="G81">
            <v>102478</v>
          </cell>
          <cell r="H81">
            <v>3</v>
          </cell>
        </row>
        <row r="82">
          <cell r="G82">
            <v>102479</v>
          </cell>
          <cell r="H82">
            <v>1</v>
          </cell>
        </row>
        <row r="83">
          <cell r="G83">
            <v>102564</v>
          </cell>
          <cell r="H83">
            <v>7</v>
          </cell>
        </row>
        <row r="84">
          <cell r="G84">
            <v>102565</v>
          </cell>
          <cell r="H84">
            <v>5</v>
          </cell>
        </row>
        <row r="85">
          <cell r="G85">
            <v>102567</v>
          </cell>
          <cell r="H85">
            <v>13</v>
          </cell>
        </row>
        <row r="86">
          <cell r="G86">
            <v>102934</v>
          </cell>
          <cell r="H86">
            <v>21</v>
          </cell>
        </row>
        <row r="87">
          <cell r="G87">
            <v>102935</v>
          </cell>
          <cell r="H87">
            <v>12</v>
          </cell>
        </row>
        <row r="88">
          <cell r="G88">
            <v>103198</v>
          </cell>
          <cell r="H88">
            <v>7</v>
          </cell>
        </row>
        <row r="89">
          <cell r="G89">
            <v>103199</v>
          </cell>
          <cell r="H89">
            <v>6</v>
          </cell>
        </row>
        <row r="90">
          <cell r="G90">
            <v>103639</v>
          </cell>
          <cell r="H90">
            <v>1</v>
          </cell>
        </row>
        <row r="91">
          <cell r="G91">
            <v>104429</v>
          </cell>
          <cell r="H91">
            <v>2</v>
          </cell>
        </row>
      </sheetData>
      <sheetData sheetId="7"/>
      <sheetData sheetId="8"/>
      <sheetData sheetId="9"/>
      <sheetData sheetId="10">
        <row r="1">
          <cell r="G1" t="str">
            <v>门店ID</v>
          </cell>
          <cell r="H1" t="str">
            <v>汇总</v>
          </cell>
        </row>
        <row r="2">
          <cell r="G2">
            <v>52</v>
          </cell>
          <cell r="H2">
            <v>1889.53</v>
          </cell>
        </row>
        <row r="3">
          <cell r="G3">
            <v>54</v>
          </cell>
          <cell r="H3">
            <v>1647.5</v>
          </cell>
        </row>
        <row r="4">
          <cell r="G4">
            <v>56</v>
          </cell>
          <cell r="H4">
            <v>8468.56</v>
          </cell>
        </row>
        <row r="5">
          <cell r="G5">
            <v>307</v>
          </cell>
          <cell r="H5">
            <v>34591.6</v>
          </cell>
        </row>
        <row r="6">
          <cell r="G6">
            <v>308</v>
          </cell>
          <cell r="H6">
            <v>3091.04</v>
          </cell>
        </row>
        <row r="7">
          <cell r="G7">
            <v>311</v>
          </cell>
          <cell r="H7">
            <v>4479.03</v>
          </cell>
        </row>
        <row r="8">
          <cell r="G8">
            <v>329</v>
          </cell>
          <cell r="H8">
            <v>2926.02</v>
          </cell>
        </row>
        <row r="9">
          <cell r="G9">
            <v>337</v>
          </cell>
          <cell r="H9">
            <v>579</v>
          </cell>
        </row>
        <row r="10">
          <cell r="G10">
            <v>339</v>
          </cell>
          <cell r="H10">
            <v>4741.27</v>
          </cell>
        </row>
        <row r="11">
          <cell r="G11">
            <v>341</v>
          </cell>
          <cell r="H11">
            <v>25600.62</v>
          </cell>
        </row>
        <row r="12">
          <cell r="G12">
            <v>343</v>
          </cell>
          <cell r="H12">
            <v>6887.31</v>
          </cell>
        </row>
        <row r="13">
          <cell r="G13">
            <v>347</v>
          </cell>
          <cell r="H13">
            <v>1145.52</v>
          </cell>
        </row>
        <row r="14">
          <cell r="G14">
            <v>349</v>
          </cell>
          <cell r="H14">
            <v>2233.99</v>
          </cell>
        </row>
        <row r="15">
          <cell r="G15">
            <v>351</v>
          </cell>
          <cell r="H15">
            <v>3043.79</v>
          </cell>
        </row>
        <row r="16">
          <cell r="G16">
            <v>355</v>
          </cell>
          <cell r="H16">
            <v>2842.03</v>
          </cell>
        </row>
        <row r="17">
          <cell r="G17">
            <v>357</v>
          </cell>
          <cell r="H17">
            <v>3166.07</v>
          </cell>
        </row>
        <row r="18">
          <cell r="G18">
            <v>359</v>
          </cell>
          <cell r="H18">
            <v>2188.08</v>
          </cell>
        </row>
        <row r="19">
          <cell r="G19">
            <v>365</v>
          </cell>
          <cell r="H19">
            <v>5196.76</v>
          </cell>
        </row>
        <row r="20">
          <cell r="G20">
            <v>367</v>
          </cell>
          <cell r="H20">
            <v>2841</v>
          </cell>
        </row>
        <row r="21">
          <cell r="G21">
            <v>371</v>
          </cell>
          <cell r="H21">
            <v>1112.47</v>
          </cell>
        </row>
        <row r="22">
          <cell r="G22">
            <v>373</v>
          </cell>
          <cell r="H22">
            <v>2615.53</v>
          </cell>
        </row>
        <row r="23">
          <cell r="G23">
            <v>377</v>
          </cell>
          <cell r="H23">
            <v>3346.64</v>
          </cell>
        </row>
        <row r="24">
          <cell r="G24">
            <v>379</v>
          </cell>
          <cell r="H24">
            <v>4263.8</v>
          </cell>
        </row>
        <row r="25">
          <cell r="G25">
            <v>385</v>
          </cell>
          <cell r="H25">
            <v>2693.43</v>
          </cell>
        </row>
        <row r="26">
          <cell r="G26">
            <v>387</v>
          </cell>
          <cell r="H26">
            <v>3308.49</v>
          </cell>
        </row>
        <row r="27">
          <cell r="G27">
            <v>391</v>
          </cell>
          <cell r="H27">
            <v>1827.52</v>
          </cell>
        </row>
        <row r="28">
          <cell r="G28">
            <v>399</v>
          </cell>
          <cell r="H28">
            <v>2594.92</v>
          </cell>
        </row>
        <row r="29">
          <cell r="G29">
            <v>511</v>
          </cell>
          <cell r="H29">
            <v>2008.01</v>
          </cell>
        </row>
        <row r="30">
          <cell r="G30">
            <v>513</v>
          </cell>
          <cell r="H30">
            <v>1386</v>
          </cell>
        </row>
        <row r="31">
          <cell r="G31">
            <v>514</v>
          </cell>
          <cell r="H31">
            <v>1752.01</v>
          </cell>
        </row>
        <row r="32">
          <cell r="G32">
            <v>515</v>
          </cell>
          <cell r="H32">
            <v>2449.29</v>
          </cell>
        </row>
        <row r="33">
          <cell r="G33">
            <v>517</v>
          </cell>
          <cell r="H33">
            <v>4430.32</v>
          </cell>
        </row>
        <row r="34">
          <cell r="G34">
            <v>539</v>
          </cell>
          <cell r="H34">
            <v>2052</v>
          </cell>
        </row>
        <row r="35">
          <cell r="G35">
            <v>545</v>
          </cell>
          <cell r="H35">
            <v>2083.73</v>
          </cell>
        </row>
        <row r="36">
          <cell r="G36">
            <v>546</v>
          </cell>
          <cell r="H36">
            <v>4003.57</v>
          </cell>
        </row>
        <row r="37">
          <cell r="G37">
            <v>549</v>
          </cell>
          <cell r="H37">
            <v>2950.18</v>
          </cell>
        </row>
        <row r="38">
          <cell r="G38">
            <v>570</v>
          </cell>
          <cell r="H38">
            <v>1722.13</v>
          </cell>
        </row>
        <row r="39">
          <cell r="G39">
            <v>571</v>
          </cell>
          <cell r="H39">
            <v>2425.51</v>
          </cell>
        </row>
        <row r="40">
          <cell r="G40">
            <v>572</v>
          </cell>
          <cell r="H40">
            <v>3850.31</v>
          </cell>
        </row>
        <row r="41">
          <cell r="G41">
            <v>573</v>
          </cell>
          <cell r="H41">
            <v>555.53</v>
          </cell>
        </row>
        <row r="42">
          <cell r="G42">
            <v>578</v>
          </cell>
          <cell r="H42">
            <v>3753.71</v>
          </cell>
        </row>
        <row r="43">
          <cell r="G43">
            <v>581</v>
          </cell>
          <cell r="H43">
            <v>6383.4</v>
          </cell>
        </row>
        <row r="44">
          <cell r="G44">
            <v>582</v>
          </cell>
          <cell r="H44">
            <v>2663.41</v>
          </cell>
        </row>
        <row r="45">
          <cell r="G45">
            <v>584</v>
          </cell>
          <cell r="H45">
            <v>1311.51</v>
          </cell>
        </row>
        <row r="46">
          <cell r="G46">
            <v>585</v>
          </cell>
          <cell r="H46">
            <v>4454.58</v>
          </cell>
        </row>
        <row r="47">
          <cell r="G47">
            <v>587</v>
          </cell>
          <cell r="H47">
            <v>3008.09</v>
          </cell>
        </row>
        <row r="48">
          <cell r="G48">
            <v>591</v>
          </cell>
          <cell r="H48">
            <v>3036.58</v>
          </cell>
        </row>
        <row r="49">
          <cell r="G49">
            <v>594</v>
          </cell>
          <cell r="H49">
            <v>3023.98</v>
          </cell>
        </row>
        <row r="50">
          <cell r="G50">
            <v>598</v>
          </cell>
          <cell r="H50">
            <v>1765.45</v>
          </cell>
        </row>
        <row r="51">
          <cell r="G51">
            <v>704</v>
          </cell>
          <cell r="H51">
            <v>2720.55</v>
          </cell>
        </row>
        <row r="52">
          <cell r="G52">
            <v>706</v>
          </cell>
          <cell r="H52">
            <v>589</v>
          </cell>
        </row>
        <row r="53">
          <cell r="G53">
            <v>707</v>
          </cell>
          <cell r="H53">
            <v>3446.34</v>
          </cell>
        </row>
        <row r="54">
          <cell r="G54">
            <v>709</v>
          </cell>
          <cell r="H54">
            <v>4259.81</v>
          </cell>
        </row>
        <row r="55">
          <cell r="G55">
            <v>710</v>
          </cell>
          <cell r="H55">
            <v>1394.52</v>
          </cell>
        </row>
        <row r="56">
          <cell r="G56">
            <v>712</v>
          </cell>
          <cell r="H56">
            <v>7266.12</v>
          </cell>
        </row>
        <row r="57">
          <cell r="G57">
            <v>713</v>
          </cell>
          <cell r="H57">
            <v>1309.05</v>
          </cell>
        </row>
        <row r="58">
          <cell r="G58">
            <v>716</v>
          </cell>
          <cell r="H58">
            <v>1024.19</v>
          </cell>
        </row>
        <row r="59">
          <cell r="G59">
            <v>717</v>
          </cell>
          <cell r="H59">
            <v>784.51</v>
          </cell>
        </row>
        <row r="60">
          <cell r="G60">
            <v>718</v>
          </cell>
          <cell r="H60">
            <v>3338.53</v>
          </cell>
        </row>
        <row r="61">
          <cell r="G61">
            <v>720</v>
          </cell>
          <cell r="H61">
            <v>3716.39</v>
          </cell>
        </row>
        <row r="62">
          <cell r="G62">
            <v>721</v>
          </cell>
          <cell r="H62">
            <v>670</v>
          </cell>
        </row>
        <row r="63">
          <cell r="G63">
            <v>723</v>
          </cell>
          <cell r="H63">
            <v>1608.05</v>
          </cell>
        </row>
        <row r="64">
          <cell r="G64">
            <v>724</v>
          </cell>
          <cell r="H64">
            <v>1621.76</v>
          </cell>
        </row>
        <row r="65">
          <cell r="G65">
            <v>726</v>
          </cell>
          <cell r="H65">
            <v>6048.85</v>
          </cell>
        </row>
        <row r="66">
          <cell r="G66">
            <v>727</v>
          </cell>
          <cell r="H66">
            <v>1891.53</v>
          </cell>
        </row>
        <row r="67">
          <cell r="G67">
            <v>730</v>
          </cell>
          <cell r="H67">
            <v>4642.87</v>
          </cell>
        </row>
        <row r="68">
          <cell r="G68">
            <v>732</v>
          </cell>
          <cell r="H68">
            <v>4855.93</v>
          </cell>
        </row>
        <row r="69">
          <cell r="G69">
            <v>733</v>
          </cell>
          <cell r="H69">
            <v>2307.03</v>
          </cell>
        </row>
        <row r="70">
          <cell r="G70">
            <v>737</v>
          </cell>
          <cell r="H70">
            <v>1272.07</v>
          </cell>
        </row>
        <row r="71">
          <cell r="G71">
            <v>738</v>
          </cell>
          <cell r="H71">
            <v>2097.02</v>
          </cell>
        </row>
        <row r="72">
          <cell r="G72">
            <v>740</v>
          </cell>
          <cell r="H72">
            <v>4518.71</v>
          </cell>
        </row>
        <row r="73">
          <cell r="G73">
            <v>741</v>
          </cell>
          <cell r="H73">
            <v>708.53</v>
          </cell>
        </row>
        <row r="74">
          <cell r="G74">
            <v>742</v>
          </cell>
          <cell r="H74">
            <v>1120.11</v>
          </cell>
        </row>
        <row r="75">
          <cell r="G75">
            <v>743</v>
          </cell>
          <cell r="H75">
            <v>1188.02</v>
          </cell>
        </row>
        <row r="76">
          <cell r="G76">
            <v>744</v>
          </cell>
          <cell r="H76">
            <v>1149.03</v>
          </cell>
        </row>
        <row r="77">
          <cell r="G77">
            <v>745</v>
          </cell>
          <cell r="H77">
            <v>958.8</v>
          </cell>
        </row>
        <row r="78">
          <cell r="G78">
            <v>746</v>
          </cell>
          <cell r="H78">
            <v>677</v>
          </cell>
        </row>
        <row r="79">
          <cell r="G79">
            <v>747</v>
          </cell>
          <cell r="H79">
            <v>2495.64</v>
          </cell>
        </row>
        <row r="80">
          <cell r="G80">
            <v>748</v>
          </cell>
          <cell r="H80">
            <v>1181.22</v>
          </cell>
        </row>
        <row r="81">
          <cell r="G81">
            <v>750</v>
          </cell>
          <cell r="H81">
            <v>3420.01</v>
          </cell>
        </row>
        <row r="82">
          <cell r="G82">
            <v>752</v>
          </cell>
          <cell r="H82">
            <v>1870.13</v>
          </cell>
        </row>
        <row r="83">
          <cell r="G83">
            <v>753</v>
          </cell>
          <cell r="H83">
            <v>397.2</v>
          </cell>
        </row>
        <row r="84">
          <cell r="G84">
            <v>754</v>
          </cell>
          <cell r="H84">
            <v>966.5</v>
          </cell>
        </row>
        <row r="85">
          <cell r="G85">
            <v>755</v>
          </cell>
          <cell r="H85">
            <v>1099.84</v>
          </cell>
        </row>
        <row r="86">
          <cell r="G86">
            <v>101453</v>
          </cell>
          <cell r="H86">
            <v>1001.05</v>
          </cell>
        </row>
        <row r="87">
          <cell r="G87">
            <v>102478</v>
          </cell>
          <cell r="H87">
            <v>1001.36</v>
          </cell>
        </row>
        <row r="88">
          <cell r="G88">
            <v>102479</v>
          </cell>
          <cell r="H88">
            <v>651.51</v>
          </cell>
        </row>
        <row r="89">
          <cell r="G89">
            <v>102564</v>
          </cell>
          <cell r="H89">
            <v>405.01</v>
          </cell>
        </row>
        <row r="90">
          <cell r="G90">
            <v>102565</v>
          </cell>
          <cell r="H90">
            <v>711.81</v>
          </cell>
        </row>
        <row r="91">
          <cell r="G91">
            <v>102567</v>
          </cell>
          <cell r="H91">
            <v>1020.34</v>
          </cell>
        </row>
        <row r="92">
          <cell r="G92">
            <v>102934</v>
          </cell>
          <cell r="H92">
            <v>2452.54</v>
          </cell>
        </row>
        <row r="93">
          <cell r="G93">
            <v>102935</v>
          </cell>
          <cell r="H93">
            <v>508.01</v>
          </cell>
        </row>
        <row r="94">
          <cell r="G94">
            <v>103198</v>
          </cell>
          <cell r="H94">
            <v>1248.26</v>
          </cell>
        </row>
        <row r="95">
          <cell r="G95">
            <v>103199</v>
          </cell>
          <cell r="H95">
            <v>1049.53</v>
          </cell>
        </row>
        <row r="96">
          <cell r="G96">
            <v>103639</v>
          </cell>
          <cell r="H96">
            <v>334.6</v>
          </cell>
        </row>
        <row r="97">
          <cell r="G97">
            <v>104428</v>
          </cell>
          <cell r="H97">
            <v>1376.5</v>
          </cell>
        </row>
        <row r="98">
          <cell r="G98">
            <v>104429</v>
          </cell>
          <cell r="H98">
            <v>823.2</v>
          </cell>
        </row>
      </sheetData>
      <sheetData sheetId="1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SQL Results"/>
      <sheetName val="SQL Statement"/>
    </sheetNames>
    <sheetDataSet>
      <sheetData sheetId="0">
        <row r="1">
          <cell r="B1" t="str">
            <v>PLACEPOINTID</v>
          </cell>
          <cell r="C1" t="str">
            <v>MAX(DECODE(BB.DOCID,10,BB.DOCN</v>
          </cell>
          <cell r="D1" t="str">
            <v>MAX(AA.DOCID1_RW)</v>
          </cell>
          <cell r="E1" t="str">
            <v>MAX(AA.TZ_DOCID1)</v>
          </cell>
          <cell r="F1" t="str">
            <v>MAX(DECODE(BB.DOCID,10,BB.XS_J</v>
          </cell>
          <cell r="G1" t="str">
            <v>MAX(DECODE(BB.DOCID,10,BB.XS_S</v>
          </cell>
          <cell r="H1" t="str">
            <v>MAX(DECODE(BB.DOCID,35,BB.DOCN</v>
          </cell>
          <cell r="I1" t="str">
            <v>MAX(AA.DOCID2_RW)</v>
          </cell>
          <cell r="J1" t="str">
            <v>MAX(AA.TZ_DOCID2)</v>
          </cell>
          <cell r="K1" t="str">
            <v>MAX(DECODE(BB.DOCID,35,BB.XS_J</v>
          </cell>
          <cell r="L1" t="str">
            <v>MAX(DECODE(BB.DOCID,35,BB.XS_S</v>
          </cell>
          <cell r="M1" t="str">
            <v>MAX(DECODE(BB.DOCID,40,BB.DOCN</v>
          </cell>
          <cell r="N1" t="str">
            <v>MAX(AA.DOCID3_RW)</v>
          </cell>
          <cell r="O1" t="str">
            <v>MAX(AA.TZ_DOCID3)</v>
          </cell>
          <cell r="P1" t="str">
            <v>MAX(DECODE(BB.DOCID,40,BB.XS_J</v>
          </cell>
        </row>
        <row r="2">
          <cell r="B2">
            <v>52</v>
          </cell>
          <cell r="C2" t="str">
            <v>补肾系列</v>
          </cell>
          <cell r="D2">
            <v>17</v>
          </cell>
          <cell r="E2">
            <v>23</v>
          </cell>
          <cell r="F2">
            <v>1665</v>
          </cell>
          <cell r="G2">
            <v>29</v>
          </cell>
          <cell r="H2" t="str">
            <v>丹参+通脉</v>
          </cell>
          <cell r="I2">
            <v>35</v>
          </cell>
          <cell r="J2">
            <v>40</v>
          </cell>
          <cell r="K2">
            <v>39.9</v>
          </cell>
          <cell r="L2">
            <v>1</v>
          </cell>
          <cell r="M2" t="str">
            <v/>
          </cell>
          <cell r="N2">
            <v>36</v>
          </cell>
          <cell r="O2">
            <v>41</v>
          </cell>
          <cell r="P2" t="str">
            <v/>
          </cell>
        </row>
        <row r="3">
          <cell r="B3">
            <v>54</v>
          </cell>
          <cell r="C3" t="str">
            <v>补肾系列</v>
          </cell>
          <cell r="D3">
            <v>17</v>
          </cell>
          <cell r="E3">
            <v>23</v>
          </cell>
          <cell r="F3">
            <v>7797.32</v>
          </cell>
          <cell r="G3">
            <v>110</v>
          </cell>
          <cell r="H3" t="str">
            <v>丹参+通脉</v>
          </cell>
          <cell r="I3">
            <v>33</v>
          </cell>
          <cell r="J3">
            <v>38</v>
          </cell>
          <cell r="K3">
            <v>900.14</v>
          </cell>
          <cell r="L3">
            <v>26</v>
          </cell>
          <cell r="M3" t="str">
            <v/>
          </cell>
          <cell r="N3">
            <v>63</v>
          </cell>
          <cell r="O3">
            <v>73</v>
          </cell>
          <cell r="P3" t="str">
            <v/>
          </cell>
        </row>
        <row r="4">
          <cell r="B4">
            <v>56</v>
          </cell>
          <cell r="C4" t="str">
            <v>补肾系列</v>
          </cell>
          <cell r="D4">
            <v>6</v>
          </cell>
          <cell r="E4">
            <v>9</v>
          </cell>
          <cell r="F4">
            <v>9758.77</v>
          </cell>
          <cell r="G4">
            <v>131</v>
          </cell>
          <cell r="H4" t="str">
            <v/>
          </cell>
          <cell r="I4">
            <v>36</v>
          </cell>
          <cell r="J4">
            <v>41</v>
          </cell>
          <cell r="K4" t="str">
            <v/>
          </cell>
          <cell r="L4" t="str">
            <v/>
          </cell>
          <cell r="M4" t="str">
            <v>氨糖软骨素维生素D钙片</v>
          </cell>
          <cell r="N4">
            <v>29</v>
          </cell>
          <cell r="O4">
            <v>32</v>
          </cell>
          <cell r="P4">
            <v>1188.01</v>
          </cell>
        </row>
        <row r="5">
          <cell r="B5">
            <v>307</v>
          </cell>
          <cell r="C5" t="str">
            <v>补肾系列</v>
          </cell>
          <cell r="D5">
            <v>151</v>
          </cell>
          <cell r="E5">
            <v>166</v>
          </cell>
          <cell r="F5">
            <v>36215.03</v>
          </cell>
          <cell r="G5">
            <v>557</v>
          </cell>
          <cell r="H5" t="str">
            <v>丹参+通脉</v>
          </cell>
          <cell r="I5">
            <v>210</v>
          </cell>
          <cell r="J5">
            <v>216</v>
          </cell>
          <cell r="K5">
            <v>5205.3</v>
          </cell>
          <cell r="L5">
            <v>158</v>
          </cell>
          <cell r="M5" t="str">
            <v>氨糖软骨素维生素D钙片</v>
          </cell>
          <cell r="N5">
            <v>227</v>
          </cell>
          <cell r="O5">
            <v>241</v>
          </cell>
          <cell r="P5">
            <v>2214.3</v>
          </cell>
        </row>
        <row r="6">
          <cell r="B6">
            <v>308</v>
          </cell>
          <cell r="C6" t="str">
            <v>补肾系列</v>
          </cell>
          <cell r="D6">
            <v>27</v>
          </cell>
          <cell r="E6">
            <v>34</v>
          </cell>
          <cell r="F6">
            <v>4019.06</v>
          </cell>
          <cell r="G6">
            <v>66</v>
          </cell>
          <cell r="H6" t="str">
            <v>丹参+通脉</v>
          </cell>
          <cell r="I6">
            <v>28</v>
          </cell>
          <cell r="J6">
            <v>33</v>
          </cell>
          <cell r="K6">
            <v>2713.77</v>
          </cell>
          <cell r="L6">
            <v>109</v>
          </cell>
          <cell r="M6" t="str">
            <v/>
          </cell>
          <cell r="N6">
            <v>31</v>
          </cell>
          <cell r="O6">
            <v>35</v>
          </cell>
          <cell r="P6" t="str">
            <v/>
          </cell>
        </row>
        <row r="7">
          <cell r="B7">
            <v>311</v>
          </cell>
          <cell r="C7" t="str">
            <v>补肾系列</v>
          </cell>
          <cell r="D7">
            <v>24</v>
          </cell>
          <cell r="E7">
            <v>29</v>
          </cell>
          <cell r="F7">
            <v>6311.5</v>
          </cell>
          <cell r="G7">
            <v>104</v>
          </cell>
          <cell r="H7" t="str">
            <v>丹参+通脉</v>
          </cell>
          <cell r="I7">
            <v>15</v>
          </cell>
          <cell r="J7">
            <v>17</v>
          </cell>
          <cell r="K7">
            <v>1026.01</v>
          </cell>
          <cell r="L7">
            <v>32</v>
          </cell>
          <cell r="M7" t="str">
            <v/>
          </cell>
          <cell r="N7">
            <v>6</v>
          </cell>
          <cell r="O7">
            <v>3</v>
          </cell>
          <cell r="P7" t="str">
            <v/>
          </cell>
        </row>
        <row r="8">
          <cell r="B8">
            <v>329</v>
          </cell>
          <cell r="C8" t="str">
            <v>补肾系列</v>
          </cell>
          <cell r="D8">
            <v>20</v>
          </cell>
          <cell r="E8">
            <v>27</v>
          </cell>
          <cell r="F8">
            <v>6663.96</v>
          </cell>
          <cell r="G8">
            <v>110</v>
          </cell>
          <cell r="H8" t="str">
            <v>丹参+通脉</v>
          </cell>
          <cell r="I8">
            <v>18</v>
          </cell>
          <cell r="J8">
            <v>20</v>
          </cell>
          <cell r="K8">
            <v>399</v>
          </cell>
          <cell r="L8">
            <v>12</v>
          </cell>
          <cell r="M8" t="str">
            <v/>
          </cell>
          <cell r="N8">
            <v>37</v>
          </cell>
          <cell r="O8">
            <v>42</v>
          </cell>
          <cell r="P8" t="str">
            <v/>
          </cell>
        </row>
        <row r="9">
          <cell r="B9">
            <v>337</v>
          </cell>
          <cell r="C9" t="str">
            <v>补肾系列</v>
          </cell>
          <cell r="D9" t="str">
            <v/>
          </cell>
          <cell r="E9" t="str">
            <v/>
          </cell>
          <cell r="F9">
            <v>13525.1</v>
          </cell>
          <cell r="G9">
            <v>179</v>
          </cell>
          <cell r="H9" t="str">
            <v>丹参+通脉</v>
          </cell>
          <cell r="I9" t="str">
            <v/>
          </cell>
          <cell r="J9" t="str">
            <v/>
          </cell>
          <cell r="K9">
            <v>195.7</v>
          </cell>
          <cell r="L9">
            <v>5</v>
          </cell>
          <cell r="M9" t="str">
            <v>氨糖软骨素维生素D钙片</v>
          </cell>
          <cell r="N9" t="str">
            <v/>
          </cell>
          <cell r="O9" t="str">
            <v/>
          </cell>
          <cell r="P9">
            <v>1188</v>
          </cell>
        </row>
        <row r="10">
          <cell r="B10">
            <v>339</v>
          </cell>
          <cell r="C10" t="str">
            <v>补肾系列</v>
          </cell>
          <cell r="D10">
            <v>17</v>
          </cell>
          <cell r="E10">
            <v>22</v>
          </cell>
          <cell r="F10">
            <v>3572.18</v>
          </cell>
          <cell r="G10">
            <v>80</v>
          </cell>
          <cell r="H10" t="str">
            <v>丹参+通脉</v>
          </cell>
          <cell r="I10">
            <v>12</v>
          </cell>
          <cell r="J10">
            <v>13</v>
          </cell>
          <cell r="K10">
            <v>38</v>
          </cell>
          <cell r="L10">
            <v>1</v>
          </cell>
          <cell r="M10" t="str">
            <v/>
          </cell>
          <cell r="N10">
            <v>29</v>
          </cell>
          <cell r="O10">
            <v>32</v>
          </cell>
          <cell r="P10" t="str">
            <v/>
          </cell>
        </row>
        <row r="11">
          <cell r="B11">
            <v>341</v>
          </cell>
          <cell r="C11" t="str">
            <v>补肾系列</v>
          </cell>
          <cell r="D11">
            <v>27</v>
          </cell>
          <cell r="E11">
            <v>35</v>
          </cell>
          <cell r="F11">
            <v>15478.71</v>
          </cell>
          <cell r="G11">
            <v>177</v>
          </cell>
          <cell r="H11" t="str">
            <v>丹参+通脉</v>
          </cell>
          <cell r="I11">
            <v>45</v>
          </cell>
          <cell r="J11">
            <v>52</v>
          </cell>
          <cell r="K11">
            <v>199.9</v>
          </cell>
          <cell r="L11">
            <v>6</v>
          </cell>
          <cell r="M11" t="str">
            <v>氨糖软骨素维生素D钙片</v>
          </cell>
          <cell r="N11">
            <v>48</v>
          </cell>
          <cell r="O11">
            <v>55</v>
          </cell>
          <cell r="P11">
            <v>970.2</v>
          </cell>
        </row>
        <row r="12">
          <cell r="B12">
            <v>343</v>
          </cell>
          <cell r="C12" t="str">
            <v>补肾系列</v>
          </cell>
          <cell r="D12">
            <v>27</v>
          </cell>
          <cell r="E12">
            <v>35</v>
          </cell>
          <cell r="F12">
            <v>9819.39</v>
          </cell>
          <cell r="G12">
            <v>155</v>
          </cell>
          <cell r="H12" t="str">
            <v>丹参+通脉</v>
          </cell>
          <cell r="I12">
            <v>45</v>
          </cell>
          <cell r="J12">
            <v>52</v>
          </cell>
          <cell r="K12">
            <v>507.3</v>
          </cell>
          <cell r="L12">
            <v>15</v>
          </cell>
          <cell r="M12" t="str">
            <v>氨糖软骨素维生素D钙片</v>
          </cell>
          <cell r="N12">
            <v>178</v>
          </cell>
          <cell r="O12">
            <v>195</v>
          </cell>
          <cell r="P12">
            <v>396</v>
          </cell>
        </row>
        <row r="13">
          <cell r="B13">
            <v>347</v>
          </cell>
          <cell r="C13" t="str">
            <v>补肾系列</v>
          </cell>
          <cell r="D13">
            <v>17</v>
          </cell>
          <cell r="E13">
            <v>22</v>
          </cell>
          <cell r="F13">
            <v>380.5</v>
          </cell>
          <cell r="G13">
            <v>12</v>
          </cell>
          <cell r="H13" t="str">
            <v>丹参+通脉</v>
          </cell>
          <cell r="I13">
            <v>15</v>
          </cell>
          <cell r="J13">
            <v>17</v>
          </cell>
          <cell r="K13">
            <v>76</v>
          </cell>
          <cell r="L13">
            <v>2</v>
          </cell>
          <cell r="M13" t="str">
            <v>氨糖软骨素维生素D钙片</v>
          </cell>
          <cell r="N13">
            <v>55</v>
          </cell>
          <cell r="O13">
            <v>63</v>
          </cell>
          <cell r="P13">
            <v>396</v>
          </cell>
        </row>
        <row r="14">
          <cell r="B14">
            <v>349</v>
          </cell>
          <cell r="C14" t="str">
            <v>补肾系列</v>
          </cell>
          <cell r="D14">
            <v>17</v>
          </cell>
          <cell r="E14">
            <v>23</v>
          </cell>
          <cell r="F14">
            <v>5680.79</v>
          </cell>
          <cell r="G14">
            <v>69</v>
          </cell>
          <cell r="H14" t="str">
            <v>丹参+通脉</v>
          </cell>
          <cell r="I14">
            <v>64</v>
          </cell>
          <cell r="J14">
            <v>73</v>
          </cell>
          <cell r="K14">
            <v>77.9</v>
          </cell>
          <cell r="L14">
            <v>2</v>
          </cell>
          <cell r="M14" t="str">
            <v>氨糖软骨素维生素D钙片</v>
          </cell>
          <cell r="N14">
            <v>47</v>
          </cell>
          <cell r="O14">
            <v>53</v>
          </cell>
          <cell r="P14">
            <v>396.01</v>
          </cell>
        </row>
        <row r="15">
          <cell r="B15">
            <v>351</v>
          </cell>
          <cell r="C15" t="str">
            <v>补肾系列</v>
          </cell>
          <cell r="D15">
            <v>17</v>
          </cell>
          <cell r="E15">
            <v>23</v>
          </cell>
          <cell r="F15">
            <v>5544.3</v>
          </cell>
          <cell r="G15">
            <v>74</v>
          </cell>
          <cell r="H15" t="str">
            <v>丹参+通脉</v>
          </cell>
          <cell r="I15">
            <v>21</v>
          </cell>
          <cell r="J15">
            <v>24</v>
          </cell>
          <cell r="K15">
            <v>239.4</v>
          </cell>
          <cell r="L15">
            <v>7</v>
          </cell>
          <cell r="M15" t="str">
            <v>氨糖软骨素维生素D钙片</v>
          </cell>
          <cell r="N15">
            <v>23</v>
          </cell>
          <cell r="O15">
            <v>24</v>
          </cell>
          <cell r="P15">
            <v>792</v>
          </cell>
        </row>
        <row r="16">
          <cell r="B16">
            <v>355</v>
          </cell>
          <cell r="C16" t="str">
            <v>补肾系列</v>
          </cell>
          <cell r="D16">
            <v>20</v>
          </cell>
          <cell r="E16">
            <v>27</v>
          </cell>
          <cell r="F16">
            <v>5060.49</v>
          </cell>
          <cell r="G16">
            <v>89</v>
          </cell>
          <cell r="H16" t="str">
            <v>丹参+通脉</v>
          </cell>
          <cell r="I16">
            <v>42</v>
          </cell>
          <cell r="J16">
            <v>49</v>
          </cell>
          <cell r="K16">
            <v>152</v>
          </cell>
          <cell r="L16">
            <v>5</v>
          </cell>
          <cell r="M16" t="str">
            <v>氨糖软骨素维生素D钙片</v>
          </cell>
          <cell r="N16">
            <v>61</v>
          </cell>
          <cell r="O16">
            <v>71</v>
          </cell>
          <cell r="P16">
            <v>396</v>
          </cell>
        </row>
        <row r="17">
          <cell r="B17">
            <v>357</v>
          </cell>
          <cell r="C17" t="str">
            <v>补肾系列</v>
          </cell>
          <cell r="D17">
            <v>17</v>
          </cell>
          <cell r="E17">
            <v>23</v>
          </cell>
          <cell r="F17">
            <v>4889.02</v>
          </cell>
          <cell r="G17">
            <v>81</v>
          </cell>
          <cell r="H17" t="str">
            <v>丹参+通脉</v>
          </cell>
          <cell r="I17">
            <v>25</v>
          </cell>
          <cell r="J17">
            <v>29</v>
          </cell>
          <cell r="K17">
            <v>438.07</v>
          </cell>
          <cell r="L17">
            <v>13</v>
          </cell>
          <cell r="M17" t="str">
            <v>氨糖软骨素维生素D钙片</v>
          </cell>
          <cell r="N17">
            <v>55</v>
          </cell>
          <cell r="O17">
            <v>63</v>
          </cell>
          <cell r="P17">
            <v>594</v>
          </cell>
        </row>
        <row r="18">
          <cell r="B18">
            <v>359</v>
          </cell>
          <cell r="C18" t="str">
            <v>补肾系列</v>
          </cell>
          <cell r="D18">
            <v>20</v>
          </cell>
          <cell r="E18">
            <v>27</v>
          </cell>
          <cell r="F18">
            <v>1896.4</v>
          </cell>
          <cell r="G18">
            <v>47</v>
          </cell>
          <cell r="H18" t="str">
            <v>丹参+通脉</v>
          </cell>
          <cell r="I18">
            <v>40</v>
          </cell>
          <cell r="J18">
            <v>46</v>
          </cell>
          <cell r="K18">
            <v>621.1</v>
          </cell>
          <cell r="L18">
            <v>22</v>
          </cell>
          <cell r="M18" t="str">
            <v>氨糖软骨素维生素D钙片</v>
          </cell>
          <cell r="N18">
            <v>44</v>
          </cell>
          <cell r="O18">
            <v>50</v>
          </cell>
          <cell r="P18">
            <v>1346.4</v>
          </cell>
        </row>
        <row r="19">
          <cell r="B19">
            <v>365</v>
          </cell>
          <cell r="C19" t="str">
            <v>补肾系列</v>
          </cell>
          <cell r="D19">
            <v>27</v>
          </cell>
          <cell r="E19">
            <v>34</v>
          </cell>
          <cell r="F19">
            <v>7520.14</v>
          </cell>
          <cell r="G19">
            <v>105</v>
          </cell>
          <cell r="H19" t="str">
            <v>丹参+通脉</v>
          </cell>
          <cell r="I19">
            <v>48</v>
          </cell>
          <cell r="J19">
            <v>56</v>
          </cell>
          <cell r="K19">
            <v>279.3</v>
          </cell>
          <cell r="L19">
            <v>8</v>
          </cell>
          <cell r="M19" t="str">
            <v/>
          </cell>
          <cell r="N19">
            <v>65</v>
          </cell>
          <cell r="O19">
            <v>76</v>
          </cell>
          <cell r="P19" t="str">
            <v/>
          </cell>
        </row>
        <row r="20">
          <cell r="B20">
            <v>367</v>
          </cell>
          <cell r="C20" t="str">
            <v>补肾系列</v>
          </cell>
          <cell r="D20">
            <v>17</v>
          </cell>
          <cell r="E20">
            <v>22</v>
          </cell>
          <cell r="F20">
            <v>1787.5</v>
          </cell>
          <cell r="G20">
            <v>48</v>
          </cell>
          <cell r="H20" t="str">
            <v>丹参+通脉</v>
          </cell>
          <cell r="I20">
            <v>24</v>
          </cell>
          <cell r="J20">
            <v>28</v>
          </cell>
          <cell r="K20">
            <v>273.6</v>
          </cell>
          <cell r="L20">
            <v>8</v>
          </cell>
          <cell r="M20" t="str">
            <v>氨糖软骨素维生素D钙片</v>
          </cell>
          <cell r="N20">
            <v>61</v>
          </cell>
          <cell r="O20">
            <v>71</v>
          </cell>
          <cell r="P20">
            <v>588.03</v>
          </cell>
        </row>
        <row r="21">
          <cell r="B21">
            <v>371</v>
          </cell>
          <cell r="C21" t="str">
            <v>补肾系列</v>
          </cell>
          <cell r="D21">
            <v>6</v>
          </cell>
          <cell r="E21">
            <v>9</v>
          </cell>
          <cell r="F21">
            <v>1314</v>
          </cell>
          <cell r="G21">
            <v>32</v>
          </cell>
          <cell r="H21" t="str">
            <v/>
          </cell>
          <cell r="I21">
            <v>11</v>
          </cell>
          <cell r="J21">
            <v>12</v>
          </cell>
          <cell r="K21" t="str">
            <v/>
          </cell>
          <cell r="L21" t="str">
            <v/>
          </cell>
          <cell r="M21" t="str">
            <v>氨糖软骨素维生素D钙片</v>
          </cell>
          <cell r="N21">
            <v>24</v>
          </cell>
          <cell r="O21">
            <v>26</v>
          </cell>
          <cell r="P21">
            <v>198</v>
          </cell>
        </row>
        <row r="22">
          <cell r="B22">
            <v>373</v>
          </cell>
          <cell r="C22" t="str">
            <v>补肾系列</v>
          </cell>
          <cell r="D22">
            <v>17</v>
          </cell>
          <cell r="E22">
            <v>23</v>
          </cell>
          <cell r="F22">
            <v>2524</v>
          </cell>
          <cell r="G22">
            <v>37</v>
          </cell>
          <cell r="H22" t="str">
            <v>丹参+通脉</v>
          </cell>
          <cell r="I22">
            <v>42</v>
          </cell>
          <cell r="J22">
            <v>49</v>
          </cell>
          <cell r="K22">
            <v>917.7</v>
          </cell>
          <cell r="L22">
            <v>27</v>
          </cell>
          <cell r="M22" t="str">
            <v/>
          </cell>
          <cell r="N22">
            <v>40</v>
          </cell>
          <cell r="O22">
            <v>46</v>
          </cell>
          <cell r="P22" t="str">
            <v/>
          </cell>
        </row>
        <row r="23">
          <cell r="B23">
            <v>377</v>
          </cell>
          <cell r="C23" t="str">
            <v>补肾系列</v>
          </cell>
          <cell r="D23">
            <v>17</v>
          </cell>
          <cell r="E23">
            <v>23</v>
          </cell>
          <cell r="F23">
            <v>2912.5</v>
          </cell>
          <cell r="G23">
            <v>43</v>
          </cell>
          <cell r="H23" t="str">
            <v>丹参+通脉</v>
          </cell>
          <cell r="I23">
            <v>77</v>
          </cell>
          <cell r="J23">
            <v>84</v>
          </cell>
          <cell r="K23">
            <v>231.8</v>
          </cell>
          <cell r="L23">
            <v>6</v>
          </cell>
          <cell r="M23" t="str">
            <v/>
          </cell>
          <cell r="N23">
            <v>80</v>
          </cell>
          <cell r="O23">
            <v>91</v>
          </cell>
          <cell r="P23" t="str">
            <v/>
          </cell>
        </row>
        <row r="24">
          <cell r="B24">
            <v>379</v>
          </cell>
          <cell r="C24" t="str">
            <v>补肾系列</v>
          </cell>
          <cell r="D24">
            <v>17</v>
          </cell>
          <cell r="E24">
            <v>23</v>
          </cell>
          <cell r="F24">
            <v>3871.72</v>
          </cell>
          <cell r="G24">
            <v>63</v>
          </cell>
          <cell r="H24" t="str">
            <v>丹参+通脉</v>
          </cell>
          <cell r="I24">
            <v>30</v>
          </cell>
          <cell r="J24">
            <v>35</v>
          </cell>
          <cell r="K24">
            <v>39.9</v>
          </cell>
          <cell r="L24">
            <v>1</v>
          </cell>
          <cell r="M24" t="str">
            <v>氨糖软骨素维生素D钙片</v>
          </cell>
          <cell r="N24">
            <v>47</v>
          </cell>
          <cell r="O24">
            <v>53</v>
          </cell>
          <cell r="P24">
            <v>792</v>
          </cell>
        </row>
        <row r="25">
          <cell r="B25">
            <v>385</v>
          </cell>
          <cell r="C25" t="str">
            <v>补肾系列</v>
          </cell>
          <cell r="D25">
            <v>27</v>
          </cell>
          <cell r="E25">
            <v>35</v>
          </cell>
          <cell r="F25">
            <v>2720</v>
          </cell>
          <cell r="G25">
            <v>42</v>
          </cell>
          <cell r="H25" t="str">
            <v/>
          </cell>
          <cell r="I25">
            <v>14</v>
          </cell>
          <cell r="J25">
            <v>15</v>
          </cell>
          <cell r="K25" t="str">
            <v/>
          </cell>
          <cell r="L25" t="str">
            <v/>
          </cell>
          <cell r="M25" t="str">
            <v>氨糖软骨素维生素D钙片</v>
          </cell>
          <cell r="N25">
            <v>36</v>
          </cell>
          <cell r="O25">
            <v>41</v>
          </cell>
          <cell r="P25">
            <v>594</v>
          </cell>
        </row>
        <row r="26">
          <cell r="B26">
            <v>387</v>
          </cell>
          <cell r="C26" t="str">
            <v>补肾系列</v>
          </cell>
          <cell r="D26">
            <v>27</v>
          </cell>
          <cell r="E26">
            <v>35</v>
          </cell>
          <cell r="F26">
            <v>3262.27</v>
          </cell>
          <cell r="G26">
            <v>51</v>
          </cell>
          <cell r="H26" t="str">
            <v>丹参+通脉</v>
          </cell>
          <cell r="I26">
            <v>77</v>
          </cell>
          <cell r="J26">
            <v>84</v>
          </cell>
          <cell r="K26">
            <v>873.9</v>
          </cell>
          <cell r="L26">
            <v>25</v>
          </cell>
          <cell r="M26" t="str">
            <v/>
          </cell>
          <cell r="N26">
            <v>95</v>
          </cell>
          <cell r="O26">
            <v>109</v>
          </cell>
          <cell r="P26" t="str">
            <v/>
          </cell>
        </row>
        <row r="27">
          <cell r="B27">
            <v>391</v>
          </cell>
          <cell r="C27" t="str">
            <v>补肾系列</v>
          </cell>
          <cell r="D27">
            <v>17</v>
          </cell>
          <cell r="E27">
            <v>23</v>
          </cell>
          <cell r="F27">
            <v>4302</v>
          </cell>
          <cell r="G27">
            <v>67</v>
          </cell>
          <cell r="H27" t="str">
            <v>丹参+通脉</v>
          </cell>
          <cell r="I27">
            <v>65</v>
          </cell>
          <cell r="J27">
            <v>75</v>
          </cell>
          <cell r="K27">
            <v>279.3</v>
          </cell>
          <cell r="L27">
            <v>9</v>
          </cell>
          <cell r="M27" t="str">
            <v>氨糖软骨素维生素D钙片</v>
          </cell>
          <cell r="N27">
            <v>74</v>
          </cell>
          <cell r="O27">
            <v>84</v>
          </cell>
          <cell r="P27">
            <v>564.31</v>
          </cell>
        </row>
        <row r="28">
          <cell r="B28">
            <v>399</v>
          </cell>
          <cell r="C28" t="str">
            <v>补肾系列</v>
          </cell>
          <cell r="D28">
            <v>17</v>
          </cell>
          <cell r="E28">
            <v>23</v>
          </cell>
          <cell r="F28">
            <v>2793.61</v>
          </cell>
          <cell r="G28">
            <v>49</v>
          </cell>
          <cell r="H28" t="str">
            <v>丹参+通脉</v>
          </cell>
          <cell r="I28">
            <v>62</v>
          </cell>
          <cell r="J28">
            <v>71</v>
          </cell>
          <cell r="K28">
            <v>237.5</v>
          </cell>
          <cell r="L28">
            <v>7</v>
          </cell>
          <cell r="M28" t="str">
            <v/>
          </cell>
          <cell r="N28">
            <v>53</v>
          </cell>
          <cell r="O28">
            <v>61</v>
          </cell>
          <cell r="P28" t="str">
            <v/>
          </cell>
        </row>
        <row r="29">
          <cell r="B29">
            <v>511</v>
          </cell>
          <cell r="C29" t="str">
            <v>补肾系列</v>
          </cell>
          <cell r="D29">
            <v>17</v>
          </cell>
          <cell r="E29">
            <v>22</v>
          </cell>
          <cell r="F29">
            <v>1263.24</v>
          </cell>
          <cell r="G29">
            <v>24</v>
          </cell>
          <cell r="H29" t="str">
            <v/>
          </cell>
          <cell r="I29">
            <v>35</v>
          </cell>
          <cell r="J29">
            <v>40</v>
          </cell>
          <cell r="K29" t="str">
            <v/>
          </cell>
          <cell r="L29" t="str">
            <v/>
          </cell>
          <cell r="M29" t="str">
            <v>氨糖软骨素维生素D钙片</v>
          </cell>
          <cell r="N29">
            <v>34</v>
          </cell>
          <cell r="O29">
            <v>38</v>
          </cell>
          <cell r="P29">
            <v>564.3</v>
          </cell>
        </row>
        <row r="30">
          <cell r="B30">
            <v>513</v>
          </cell>
          <cell r="C30" t="str">
            <v>补肾系列</v>
          </cell>
          <cell r="D30">
            <v>20</v>
          </cell>
          <cell r="E30">
            <v>27</v>
          </cell>
          <cell r="F30">
            <v>2895.54</v>
          </cell>
          <cell r="G30">
            <v>54</v>
          </cell>
          <cell r="H30" t="str">
            <v>丹参+通脉</v>
          </cell>
          <cell r="I30">
            <v>13</v>
          </cell>
          <cell r="J30">
            <v>14</v>
          </cell>
          <cell r="K30">
            <v>847.84</v>
          </cell>
          <cell r="L30">
            <v>25</v>
          </cell>
          <cell r="M30" t="str">
            <v>氨糖软骨素维生素D钙片</v>
          </cell>
          <cell r="N30">
            <v>78</v>
          </cell>
          <cell r="O30">
            <v>89</v>
          </cell>
          <cell r="P30">
            <v>594</v>
          </cell>
        </row>
        <row r="31">
          <cell r="B31">
            <v>514</v>
          </cell>
          <cell r="C31" t="str">
            <v>补肾系列</v>
          </cell>
          <cell r="D31">
            <v>27</v>
          </cell>
          <cell r="E31">
            <v>34</v>
          </cell>
          <cell r="F31">
            <v>3932.64</v>
          </cell>
          <cell r="G31">
            <v>70</v>
          </cell>
          <cell r="H31" t="str">
            <v>丹参+通脉</v>
          </cell>
          <cell r="I31">
            <v>59</v>
          </cell>
          <cell r="J31">
            <v>67</v>
          </cell>
          <cell r="K31">
            <v>275.5</v>
          </cell>
          <cell r="L31">
            <v>8</v>
          </cell>
          <cell r="M31" t="str">
            <v/>
          </cell>
          <cell r="N31">
            <v>132</v>
          </cell>
          <cell r="O31">
            <v>136</v>
          </cell>
          <cell r="P31" t="str">
            <v/>
          </cell>
        </row>
        <row r="32">
          <cell r="B32">
            <v>515</v>
          </cell>
          <cell r="C32" t="str">
            <v>补肾系列</v>
          </cell>
          <cell r="D32">
            <v>17</v>
          </cell>
          <cell r="E32">
            <v>23</v>
          </cell>
          <cell r="F32">
            <v>2036.8</v>
          </cell>
          <cell r="G32">
            <v>38</v>
          </cell>
          <cell r="H32" t="str">
            <v>丹参+通脉</v>
          </cell>
          <cell r="I32">
            <v>75</v>
          </cell>
          <cell r="J32">
            <v>82</v>
          </cell>
          <cell r="K32">
            <v>997.2</v>
          </cell>
          <cell r="L32">
            <v>33</v>
          </cell>
          <cell r="M32" t="str">
            <v>氨糖软骨素维生素D钙片</v>
          </cell>
          <cell r="N32">
            <v>63</v>
          </cell>
          <cell r="O32">
            <v>73</v>
          </cell>
          <cell r="P32">
            <v>198</v>
          </cell>
        </row>
        <row r="33">
          <cell r="B33">
            <v>517</v>
          </cell>
          <cell r="C33" t="str">
            <v>补肾系列</v>
          </cell>
          <cell r="D33">
            <v>27</v>
          </cell>
          <cell r="E33">
            <v>35</v>
          </cell>
          <cell r="F33">
            <v>1746.51</v>
          </cell>
          <cell r="G33">
            <v>31</v>
          </cell>
          <cell r="H33" t="str">
            <v/>
          </cell>
          <cell r="I33">
            <v>53</v>
          </cell>
          <cell r="J33">
            <v>60</v>
          </cell>
          <cell r="K33" t="str">
            <v/>
          </cell>
          <cell r="L33" t="str">
            <v/>
          </cell>
          <cell r="M33" t="str">
            <v/>
          </cell>
          <cell r="N33">
            <v>41</v>
          </cell>
          <cell r="O33">
            <v>47</v>
          </cell>
          <cell r="P33" t="str">
            <v/>
          </cell>
        </row>
        <row r="34">
          <cell r="B34">
            <v>539</v>
          </cell>
          <cell r="C34" t="str">
            <v>补肾系列</v>
          </cell>
          <cell r="D34">
            <v>6</v>
          </cell>
          <cell r="E34">
            <v>9</v>
          </cell>
          <cell r="F34">
            <v>3058.04</v>
          </cell>
          <cell r="G34">
            <v>46</v>
          </cell>
          <cell r="H34" t="str">
            <v>丹参+通脉</v>
          </cell>
          <cell r="I34">
            <v>10</v>
          </cell>
          <cell r="J34">
            <v>10</v>
          </cell>
          <cell r="K34">
            <v>269.18</v>
          </cell>
          <cell r="L34">
            <v>9</v>
          </cell>
          <cell r="M34" t="str">
            <v/>
          </cell>
          <cell r="N34">
            <v>18</v>
          </cell>
          <cell r="O34">
            <v>18</v>
          </cell>
          <cell r="P34" t="str">
            <v/>
          </cell>
        </row>
        <row r="35">
          <cell r="B35">
            <v>545</v>
          </cell>
          <cell r="C35" t="str">
            <v>补肾系列</v>
          </cell>
          <cell r="D35">
            <v>6</v>
          </cell>
          <cell r="E35">
            <v>9</v>
          </cell>
          <cell r="F35">
            <v>4393.2</v>
          </cell>
          <cell r="G35">
            <v>70</v>
          </cell>
          <cell r="H35" t="str">
            <v>丹参+通脉</v>
          </cell>
          <cell r="I35">
            <v>41</v>
          </cell>
          <cell r="J35">
            <v>47</v>
          </cell>
          <cell r="K35">
            <v>666.9</v>
          </cell>
          <cell r="L35">
            <v>21</v>
          </cell>
          <cell r="M35" t="str">
            <v/>
          </cell>
          <cell r="N35">
            <v>25</v>
          </cell>
          <cell r="O35">
            <v>27</v>
          </cell>
          <cell r="P35" t="str">
            <v/>
          </cell>
        </row>
        <row r="36">
          <cell r="B36">
            <v>546</v>
          </cell>
          <cell r="C36" t="str">
            <v>补肾系列</v>
          </cell>
          <cell r="D36">
            <v>27</v>
          </cell>
          <cell r="E36">
            <v>34</v>
          </cell>
          <cell r="F36">
            <v>2351.3</v>
          </cell>
          <cell r="G36">
            <v>46</v>
          </cell>
          <cell r="H36" t="str">
            <v>丹参+通脉</v>
          </cell>
          <cell r="I36">
            <v>80</v>
          </cell>
          <cell r="J36">
            <v>87</v>
          </cell>
          <cell r="K36">
            <v>279.3</v>
          </cell>
          <cell r="L36">
            <v>8</v>
          </cell>
          <cell r="M36" t="str">
            <v/>
          </cell>
          <cell r="N36">
            <v>144</v>
          </cell>
          <cell r="O36">
            <v>148</v>
          </cell>
          <cell r="P36" t="str">
            <v/>
          </cell>
        </row>
        <row r="37">
          <cell r="B37">
            <v>549</v>
          </cell>
          <cell r="C37" t="str">
            <v>补肾系列</v>
          </cell>
          <cell r="D37">
            <v>6</v>
          </cell>
          <cell r="E37">
            <v>9</v>
          </cell>
          <cell r="F37">
            <v>1432.5</v>
          </cell>
          <cell r="G37">
            <v>22</v>
          </cell>
          <cell r="H37" t="str">
            <v>丹参+通脉</v>
          </cell>
          <cell r="I37">
            <v>23</v>
          </cell>
          <cell r="J37">
            <v>27</v>
          </cell>
          <cell r="K37">
            <v>19.9</v>
          </cell>
          <cell r="L37">
            <v>1</v>
          </cell>
          <cell r="M37" t="str">
            <v/>
          </cell>
          <cell r="N37">
            <v>19</v>
          </cell>
          <cell r="O37">
            <v>19</v>
          </cell>
          <cell r="P37" t="str">
            <v/>
          </cell>
        </row>
        <row r="38">
          <cell r="B38">
            <v>570</v>
          </cell>
          <cell r="C38" t="str">
            <v>补肾系列</v>
          </cell>
          <cell r="D38">
            <v>6</v>
          </cell>
          <cell r="E38">
            <v>11</v>
          </cell>
          <cell r="F38">
            <v>1101.25</v>
          </cell>
          <cell r="G38">
            <v>26</v>
          </cell>
          <cell r="H38" t="str">
            <v>丹参+通脉</v>
          </cell>
          <cell r="I38">
            <v>15</v>
          </cell>
          <cell r="J38">
            <v>17</v>
          </cell>
          <cell r="K38">
            <v>353.4</v>
          </cell>
          <cell r="L38">
            <v>11</v>
          </cell>
          <cell r="M38" t="str">
            <v>氨糖软骨素维生素D钙片</v>
          </cell>
          <cell r="N38">
            <v>45</v>
          </cell>
          <cell r="O38">
            <v>51</v>
          </cell>
          <cell r="P38">
            <v>792.01</v>
          </cell>
        </row>
        <row r="39">
          <cell r="B39">
            <v>571</v>
          </cell>
          <cell r="C39" t="str">
            <v>补肾系列</v>
          </cell>
          <cell r="D39">
            <v>27</v>
          </cell>
          <cell r="E39">
            <v>35</v>
          </cell>
          <cell r="F39">
            <v>3959</v>
          </cell>
          <cell r="G39">
            <v>73</v>
          </cell>
          <cell r="H39" t="str">
            <v>丹参+通脉</v>
          </cell>
          <cell r="I39">
            <v>109</v>
          </cell>
          <cell r="J39">
            <v>116</v>
          </cell>
          <cell r="K39">
            <v>1496.94</v>
          </cell>
          <cell r="L39">
            <v>44</v>
          </cell>
          <cell r="M39" t="str">
            <v>氨糖软骨素维生素D钙片</v>
          </cell>
          <cell r="N39">
            <v>181</v>
          </cell>
          <cell r="O39">
            <v>198</v>
          </cell>
          <cell r="P39">
            <v>396</v>
          </cell>
        </row>
        <row r="40">
          <cell r="B40">
            <v>572</v>
          </cell>
          <cell r="C40" t="str">
            <v>补肾系列</v>
          </cell>
          <cell r="D40">
            <v>17</v>
          </cell>
          <cell r="E40">
            <v>23</v>
          </cell>
          <cell r="F40">
            <v>2967.5</v>
          </cell>
          <cell r="G40">
            <v>45</v>
          </cell>
          <cell r="H40" t="str">
            <v>丹参+通脉</v>
          </cell>
          <cell r="I40">
            <v>24</v>
          </cell>
          <cell r="J40">
            <v>28</v>
          </cell>
          <cell r="K40">
            <v>229.9</v>
          </cell>
          <cell r="L40">
            <v>7</v>
          </cell>
          <cell r="M40" t="str">
            <v/>
          </cell>
          <cell r="N40">
            <v>48</v>
          </cell>
          <cell r="O40">
            <v>55</v>
          </cell>
          <cell r="P40" t="str">
            <v/>
          </cell>
        </row>
        <row r="41">
          <cell r="B41">
            <v>573</v>
          </cell>
          <cell r="C41" t="str">
            <v>补肾系列</v>
          </cell>
          <cell r="D41">
            <v>6</v>
          </cell>
          <cell r="E41">
            <v>11</v>
          </cell>
          <cell r="F41">
            <v>961.5</v>
          </cell>
          <cell r="G41">
            <v>19</v>
          </cell>
          <cell r="H41" t="str">
            <v>丹参+通脉</v>
          </cell>
          <cell r="I41">
            <v>41</v>
          </cell>
          <cell r="J41">
            <v>47</v>
          </cell>
          <cell r="K41">
            <v>159.6</v>
          </cell>
          <cell r="L41">
            <v>4</v>
          </cell>
          <cell r="M41" t="str">
            <v>氨糖软骨素维生素D钙片</v>
          </cell>
          <cell r="N41">
            <v>60</v>
          </cell>
          <cell r="O41">
            <v>69</v>
          </cell>
          <cell r="P41">
            <v>342</v>
          </cell>
        </row>
        <row r="42">
          <cell r="B42">
            <v>578</v>
          </cell>
          <cell r="C42" t="str">
            <v>补肾系列</v>
          </cell>
          <cell r="D42">
            <v>17</v>
          </cell>
          <cell r="E42">
            <v>24</v>
          </cell>
          <cell r="F42">
            <v>1596.65</v>
          </cell>
          <cell r="G42">
            <v>29</v>
          </cell>
          <cell r="H42" t="str">
            <v>丹参+通脉</v>
          </cell>
          <cell r="I42">
            <v>48</v>
          </cell>
          <cell r="J42">
            <v>56</v>
          </cell>
          <cell r="K42">
            <v>117.2</v>
          </cell>
          <cell r="L42">
            <v>3</v>
          </cell>
          <cell r="M42" t="str">
            <v/>
          </cell>
          <cell r="N42">
            <v>69</v>
          </cell>
          <cell r="O42">
            <v>81</v>
          </cell>
          <cell r="P42" t="str">
            <v/>
          </cell>
        </row>
        <row r="43">
          <cell r="B43">
            <v>581</v>
          </cell>
          <cell r="C43" t="str">
            <v>补肾系列</v>
          </cell>
          <cell r="D43">
            <v>27</v>
          </cell>
          <cell r="E43">
            <v>34</v>
          </cell>
          <cell r="F43">
            <v>3938.34</v>
          </cell>
          <cell r="G43">
            <v>45</v>
          </cell>
          <cell r="H43" t="str">
            <v>丹参+通脉</v>
          </cell>
          <cell r="I43">
            <v>109</v>
          </cell>
          <cell r="J43">
            <v>116</v>
          </cell>
          <cell r="K43">
            <v>79.8</v>
          </cell>
          <cell r="L43">
            <v>2</v>
          </cell>
          <cell r="M43" t="str">
            <v>氨糖软骨素维生素D钙片</v>
          </cell>
          <cell r="N43">
            <v>65</v>
          </cell>
          <cell r="O43">
            <v>76</v>
          </cell>
          <cell r="P43">
            <v>396.01</v>
          </cell>
        </row>
        <row r="44">
          <cell r="B44">
            <v>582</v>
          </cell>
          <cell r="C44" t="str">
            <v>补肾系列</v>
          </cell>
          <cell r="D44">
            <v>27</v>
          </cell>
          <cell r="E44">
            <v>35</v>
          </cell>
          <cell r="F44">
            <v>2503.35</v>
          </cell>
          <cell r="G44">
            <v>39</v>
          </cell>
          <cell r="H44" t="str">
            <v>丹参+通脉</v>
          </cell>
          <cell r="I44">
            <v>27</v>
          </cell>
          <cell r="J44">
            <v>32</v>
          </cell>
          <cell r="K44">
            <v>429.4</v>
          </cell>
          <cell r="L44">
            <v>13</v>
          </cell>
          <cell r="M44" t="str">
            <v/>
          </cell>
          <cell r="N44">
            <v>41</v>
          </cell>
          <cell r="O44">
            <v>47</v>
          </cell>
          <cell r="P44" t="str">
            <v/>
          </cell>
        </row>
        <row r="45">
          <cell r="B45">
            <v>584</v>
          </cell>
          <cell r="C45" t="str">
            <v>补肾系列</v>
          </cell>
          <cell r="D45">
            <v>6</v>
          </cell>
          <cell r="E45">
            <v>9</v>
          </cell>
          <cell r="F45">
            <v>3660.93</v>
          </cell>
          <cell r="G45">
            <v>59</v>
          </cell>
          <cell r="H45" t="str">
            <v/>
          </cell>
          <cell r="I45">
            <v>11</v>
          </cell>
          <cell r="J45">
            <v>12</v>
          </cell>
          <cell r="K45" t="str">
            <v/>
          </cell>
          <cell r="L45" t="str">
            <v/>
          </cell>
          <cell r="M45" t="str">
            <v>氨糖软骨素维生素D钙片</v>
          </cell>
          <cell r="N45">
            <v>39</v>
          </cell>
          <cell r="O45">
            <v>45</v>
          </cell>
          <cell r="P45">
            <v>386</v>
          </cell>
        </row>
        <row r="46">
          <cell r="B46">
            <v>585</v>
          </cell>
          <cell r="C46" t="str">
            <v>补肾系列</v>
          </cell>
          <cell r="D46">
            <v>27</v>
          </cell>
          <cell r="E46">
            <v>34</v>
          </cell>
          <cell r="F46">
            <v>3998.4</v>
          </cell>
          <cell r="G46">
            <v>83.5</v>
          </cell>
          <cell r="H46" t="str">
            <v>丹参+通脉</v>
          </cell>
          <cell r="I46">
            <v>55</v>
          </cell>
          <cell r="J46">
            <v>63</v>
          </cell>
          <cell r="K46">
            <v>509.21</v>
          </cell>
          <cell r="L46">
            <v>15</v>
          </cell>
          <cell r="M46" t="str">
            <v>氨糖软骨素维生素D钙片</v>
          </cell>
          <cell r="N46">
            <v>55</v>
          </cell>
          <cell r="O46">
            <v>63</v>
          </cell>
          <cell r="P46">
            <v>396</v>
          </cell>
        </row>
        <row r="47">
          <cell r="B47">
            <v>587</v>
          </cell>
          <cell r="C47" t="str">
            <v>补肾系列</v>
          </cell>
          <cell r="D47">
            <v>17</v>
          </cell>
          <cell r="E47">
            <v>23</v>
          </cell>
          <cell r="F47">
            <v>3588.43</v>
          </cell>
          <cell r="G47">
            <v>74</v>
          </cell>
          <cell r="H47" t="str">
            <v>丹参+通脉</v>
          </cell>
          <cell r="I47">
            <v>35</v>
          </cell>
          <cell r="J47">
            <v>40</v>
          </cell>
          <cell r="K47">
            <v>376.3</v>
          </cell>
          <cell r="L47">
            <v>11</v>
          </cell>
          <cell r="M47" t="str">
            <v>氨糖软骨素维生素D钙片</v>
          </cell>
          <cell r="N47">
            <v>47</v>
          </cell>
          <cell r="O47">
            <v>53</v>
          </cell>
          <cell r="P47">
            <v>198</v>
          </cell>
        </row>
        <row r="48">
          <cell r="B48">
            <v>591</v>
          </cell>
          <cell r="C48" t="str">
            <v>补肾系列</v>
          </cell>
          <cell r="D48">
            <v>17</v>
          </cell>
          <cell r="E48">
            <v>22</v>
          </cell>
          <cell r="F48">
            <v>2186.5</v>
          </cell>
          <cell r="G48">
            <v>45</v>
          </cell>
          <cell r="H48" t="str">
            <v>丹参+通脉</v>
          </cell>
          <cell r="I48">
            <v>65</v>
          </cell>
          <cell r="J48">
            <v>75</v>
          </cell>
          <cell r="K48">
            <v>76</v>
          </cell>
          <cell r="L48">
            <v>2</v>
          </cell>
          <cell r="M48" t="str">
            <v>氨糖软骨素维生素D钙片</v>
          </cell>
          <cell r="N48">
            <v>53</v>
          </cell>
          <cell r="O48">
            <v>61</v>
          </cell>
          <cell r="P48">
            <v>594.01</v>
          </cell>
        </row>
        <row r="49">
          <cell r="B49">
            <v>594</v>
          </cell>
          <cell r="C49" t="str">
            <v>补肾系列</v>
          </cell>
          <cell r="D49">
            <v>6</v>
          </cell>
          <cell r="E49">
            <v>9</v>
          </cell>
          <cell r="F49">
            <v>4035.39</v>
          </cell>
          <cell r="G49">
            <v>72</v>
          </cell>
          <cell r="H49" t="str">
            <v>丹参+通脉</v>
          </cell>
          <cell r="I49">
            <v>18</v>
          </cell>
          <cell r="J49">
            <v>20</v>
          </cell>
          <cell r="K49">
            <v>79.8</v>
          </cell>
          <cell r="L49">
            <v>2</v>
          </cell>
          <cell r="M49" t="str">
            <v>氨糖软骨素维生素D钙片</v>
          </cell>
          <cell r="N49">
            <v>18</v>
          </cell>
          <cell r="O49">
            <v>18</v>
          </cell>
          <cell r="P49">
            <v>396</v>
          </cell>
        </row>
        <row r="50">
          <cell r="B50">
            <v>598</v>
          </cell>
          <cell r="C50" t="str">
            <v>补肾系列</v>
          </cell>
          <cell r="D50">
            <v>17</v>
          </cell>
          <cell r="E50">
            <v>23</v>
          </cell>
          <cell r="F50">
            <v>775.01</v>
          </cell>
          <cell r="G50">
            <v>19</v>
          </cell>
          <cell r="H50" t="str">
            <v>丹参+通脉</v>
          </cell>
          <cell r="I50">
            <v>78</v>
          </cell>
          <cell r="J50">
            <v>85</v>
          </cell>
          <cell r="K50">
            <v>382.09</v>
          </cell>
          <cell r="L50">
            <v>12</v>
          </cell>
          <cell r="M50" t="str">
            <v>氨糖软骨素维生素D钙片</v>
          </cell>
          <cell r="N50">
            <v>74</v>
          </cell>
          <cell r="O50">
            <v>84</v>
          </cell>
          <cell r="P50">
            <v>594</v>
          </cell>
        </row>
        <row r="51">
          <cell r="B51">
            <v>704</v>
          </cell>
          <cell r="C51" t="str">
            <v>补肾系列</v>
          </cell>
          <cell r="D51">
            <v>17</v>
          </cell>
          <cell r="E51">
            <v>22</v>
          </cell>
          <cell r="F51">
            <v>753.5</v>
          </cell>
          <cell r="G51">
            <v>23</v>
          </cell>
          <cell r="H51" t="str">
            <v>丹参+通脉</v>
          </cell>
          <cell r="I51">
            <v>20</v>
          </cell>
          <cell r="J51">
            <v>23</v>
          </cell>
          <cell r="K51">
            <v>239.41</v>
          </cell>
          <cell r="L51">
            <v>7</v>
          </cell>
          <cell r="M51" t="str">
            <v>氨糖软骨素维生素D钙片</v>
          </cell>
          <cell r="N51">
            <v>31</v>
          </cell>
          <cell r="O51">
            <v>35</v>
          </cell>
          <cell r="P51">
            <v>396</v>
          </cell>
        </row>
        <row r="52">
          <cell r="B52">
            <v>706</v>
          </cell>
          <cell r="C52" t="str">
            <v>补肾系列</v>
          </cell>
          <cell r="D52">
            <v>6</v>
          </cell>
          <cell r="E52">
            <v>9</v>
          </cell>
          <cell r="F52">
            <v>2733.02</v>
          </cell>
          <cell r="G52">
            <v>58</v>
          </cell>
          <cell r="H52" t="str">
            <v/>
          </cell>
          <cell r="I52">
            <v>9</v>
          </cell>
          <cell r="J52">
            <v>9</v>
          </cell>
          <cell r="K52" t="str">
            <v/>
          </cell>
          <cell r="L52" t="str">
            <v/>
          </cell>
          <cell r="M52" t="str">
            <v>氨糖软骨素维生素D钙片</v>
          </cell>
          <cell r="N52">
            <v>29</v>
          </cell>
          <cell r="O52">
            <v>32</v>
          </cell>
          <cell r="P52">
            <v>396.01</v>
          </cell>
        </row>
        <row r="53">
          <cell r="B53">
            <v>707</v>
          </cell>
          <cell r="C53" t="str">
            <v>补肾系列</v>
          </cell>
          <cell r="D53">
            <v>27</v>
          </cell>
          <cell r="E53">
            <v>34</v>
          </cell>
          <cell r="F53">
            <v>3695.8</v>
          </cell>
          <cell r="G53">
            <v>60</v>
          </cell>
          <cell r="H53" t="str">
            <v/>
          </cell>
          <cell r="I53">
            <v>55</v>
          </cell>
          <cell r="J53">
            <v>63</v>
          </cell>
          <cell r="K53" t="str">
            <v/>
          </cell>
          <cell r="L53" t="str">
            <v/>
          </cell>
          <cell r="M53" t="str">
            <v/>
          </cell>
          <cell r="N53">
            <v>90</v>
          </cell>
          <cell r="O53">
            <v>103</v>
          </cell>
          <cell r="P53" t="str">
            <v/>
          </cell>
        </row>
        <row r="54">
          <cell r="B54">
            <v>709</v>
          </cell>
          <cell r="C54" t="str">
            <v>补肾系列</v>
          </cell>
          <cell r="D54">
            <v>17</v>
          </cell>
          <cell r="E54">
            <v>23</v>
          </cell>
          <cell r="F54">
            <v>2374.2</v>
          </cell>
          <cell r="G54">
            <v>50</v>
          </cell>
          <cell r="H54" t="str">
            <v>丹参+通脉</v>
          </cell>
          <cell r="I54">
            <v>19</v>
          </cell>
          <cell r="J54">
            <v>22</v>
          </cell>
          <cell r="K54">
            <v>719.91</v>
          </cell>
          <cell r="L54">
            <v>20</v>
          </cell>
          <cell r="M54" t="str">
            <v>氨糖软骨素维生素D钙片</v>
          </cell>
          <cell r="N54">
            <v>53</v>
          </cell>
          <cell r="O54">
            <v>61</v>
          </cell>
          <cell r="P54">
            <v>990.01</v>
          </cell>
        </row>
        <row r="55">
          <cell r="B55">
            <v>710</v>
          </cell>
          <cell r="C55" t="str">
            <v>补肾系列</v>
          </cell>
          <cell r="D55">
            <v>6</v>
          </cell>
          <cell r="E55">
            <v>9</v>
          </cell>
          <cell r="F55">
            <v>1416.43</v>
          </cell>
          <cell r="G55">
            <v>41</v>
          </cell>
          <cell r="H55" t="str">
            <v/>
          </cell>
          <cell r="I55">
            <v>14</v>
          </cell>
          <cell r="J55">
            <v>15</v>
          </cell>
          <cell r="K55" t="str">
            <v/>
          </cell>
          <cell r="L55" t="str">
            <v/>
          </cell>
          <cell r="M55" t="str">
            <v/>
          </cell>
          <cell r="N55">
            <v>44</v>
          </cell>
          <cell r="O55">
            <v>50</v>
          </cell>
          <cell r="P55" t="str">
            <v/>
          </cell>
        </row>
        <row r="56">
          <cell r="B56">
            <v>712</v>
          </cell>
          <cell r="C56" t="str">
            <v>补肾系列</v>
          </cell>
          <cell r="D56">
            <v>27</v>
          </cell>
          <cell r="E56">
            <v>35</v>
          </cell>
          <cell r="F56">
            <v>8285.73</v>
          </cell>
          <cell r="G56">
            <v>137</v>
          </cell>
          <cell r="H56" t="str">
            <v>丹参+通脉</v>
          </cell>
          <cell r="I56">
            <v>109</v>
          </cell>
          <cell r="J56">
            <v>116</v>
          </cell>
          <cell r="K56">
            <v>757.1</v>
          </cell>
          <cell r="L56">
            <v>23</v>
          </cell>
          <cell r="M56" t="str">
            <v>氨糖软骨素维生素D钙片</v>
          </cell>
          <cell r="N56">
            <v>79</v>
          </cell>
          <cell r="O56">
            <v>90</v>
          </cell>
          <cell r="P56">
            <v>198</v>
          </cell>
        </row>
        <row r="57">
          <cell r="B57">
            <v>713</v>
          </cell>
          <cell r="C57" t="str">
            <v>补肾系列</v>
          </cell>
          <cell r="D57">
            <v>6</v>
          </cell>
          <cell r="E57">
            <v>9</v>
          </cell>
          <cell r="F57">
            <v>2475.23</v>
          </cell>
          <cell r="G57">
            <v>42</v>
          </cell>
          <cell r="H57" t="str">
            <v>丹参+通脉</v>
          </cell>
          <cell r="I57">
            <v>14</v>
          </cell>
          <cell r="J57">
            <v>15</v>
          </cell>
          <cell r="K57">
            <v>224.2</v>
          </cell>
          <cell r="L57">
            <v>7</v>
          </cell>
          <cell r="M57" t="str">
            <v>氨糖软骨素维生素D钙片</v>
          </cell>
          <cell r="N57">
            <v>20</v>
          </cell>
          <cell r="O57">
            <v>20</v>
          </cell>
          <cell r="P57">
            <v>364.2</v>
          </cell>
        </row>
        <row r="58">
          <cell r="B58">
            <v>716</v>
          </cell>
          <cell r="C58" t="str">
            <v>补肾系列</v>
          </cell>
          <cell r="D58">
            <v>6</v>
          </cell>
          <cell r="E58">
            <v>9</v>
          </cell>
          <cell r="F58">
            <v>1640.03</v>
          </cell>
          <cell r="G58">
            <v>22</v>
          </cell>
          <cell r="H58" t="str">
            <v>丹参+通脉</v>
          </cell>
          <cell r="I58">
            <v>11</v>
          </cell>
          <cell r="J58">
            <v>12</v>
          </cell>
          <cell r="K58">
            <v>444.94</v>
          </cell>
          <cell r="L58">
            <v>14</v>
          </cell>
          <cell r="M58" t="str">
            <v>氨糖软骨素维生素D钙片</v>
          </cell>
          <cell r="N58">
            <v>23</v>
          </cell>
          <cell r="O58">
            <v>24</v>
          </cell>
          <cell r="P58">
            <v>1188</v>
          </cell>
        </row>
        <row r="59">
          <cell r="B59">
            <v>717</v>
          </cell>
          <cell r="C59" t="str">
            <v>补肾系列</v>
          </cell>
          <cell r="D59">
            <v>6</v>
          </cell>
          <cell r="E59">
            <v>11</v>
          </cell>
          <cell r="F59">
            <v>2444.94</v>
          </cell>
          <cell r="G59">
            <v>41</v>
          </cell>
          <cell r="H59" t="str">
            <v>丹参+通脉</v>
          </cell>
          <cell r="I59">
            <v>23</v>
          </cell>
          <cell r="J59">
            <v>27</v>
          </cell>
          <cell r="K59">
            <v>117.8</v>
          </cell>
          <cell r="L59">
            <v>3</v>
          </cell>
          <cell r="M59" t="str">
            <v/>
          </cell>
          <cell r="N59">
            <v>29</v>
          </cell>
          <cell r="O59">
            <v>32</v>
          </cell>
          <cell r="P59" t="str">
            <v/>
          </cell>
        </row>
        <row r="60">
          <cell r="B60">
            <v>718</v>
          </cell>
          <cell r="C60" t="str">
            <v>补肾系列</v>
          </cell>
          <cell r="D60">
            <v>6</v>
          </cell>
          <cell r="E60">
            <v>9</v>
          </cell>
          <cell r="F60">
            <v>1347.72</v>
          </cell>
          <cell r="G60">
            <v>27</v>
          </cell>
          <cell r="H60" t="str">
            <v>丹参+通脉</v>
          </cell>
          <cell r="I60">
            <v>12</v>
          </cell>
          <cell r="J60">
            <v>13</v>
          </cell>
          <cell r="K60">
            <v>319.2</v>
          </cell>
          <cell r="L60">
            <v>9</v>
          </cell>
          <cell r="M60" t="str">
            <v/>
          </cell>
          <cell r="N60">
            <v>23</v>
          </cell>
          <cell r="O60">
            <v>24</v>
          </cell>
          <cell r="P60" t="str">
            <v/>
          </cell>
        </row>
        <row r="61">
          <cell r="B61">
            <v>720</v>
          </cell>
          <cell r="C61" t="str">
            <v>补肾系列</v>
          </cell>
          <cell r="D61">
            <v>6</v>
          </cell>
          <cell r="E61">
            <v>9</v>
          </cell>
          <cell r="F61">
            <v>751</v>
          </cell>
          <cell r="G61">
            <v>21</v>
          </cell>
          <cell r="H61" t="str">
            <v/>
          </cell>
          <cell r="I61">
            <v>20</v>
          </cell>
          <cell r="J61">
            <v>23</v>
          </cell>
          <cell r="K61" t="str">
            <v/>
          </cell>
          <cell r="L61" t="str">
            <v/>
          </cell>
          <cell r="M61" t="str">
            <v/>
          </cell>
          <cell r="N61">
            <v>8</v>
          </cell>
          <cell r="O61">
            <v>5</v>
          </cell>
          <cell r="P61" t="str">
            <v/>
          </cell>
        </row>
        <row r="62">
          <cell r="B62">
            <v>721</v>
          </cell>
          <cell r="C62" t="str">
            <v>补肾系列</v>
          </cell>
          <cell r="D62">
            <v>17</v>
          </cell>
          <cell r="E62">
            <v>22</v>
          </cell>
          <cell r="F62">
            <v>2100.39</v>
          </cell>
          <cell r="G62">
            <v>63</v>
          </cell>
          <cell r="H62" t="str">
            <v>丹参+通脉</v>
          </cell>
          <cell r="I62">
            <v>36</v>
          </cell>
          <cell r="J62">
            <v>41</v>
          </cell>
          <cell r="K62">
            <v>385.7</v>
          </cell>
          <cell r="L62">
            <v>12</v>
          </cell>
          <cell r="M62" t="str">
            <v>氨糖软骨素维生素D钙片</v>
          </cell>
          <cell r="N62">
            <v>44</v>
          </cell>
          <cell r="O62">
            <v>50</v>
          </cell>
          <cell r="P62">
            <v>198</v>
          </cell>
        </row>
        <row r="63">
          <cell r="B63">
            <v>723</v>
          </cell>
          <cell r="C63" t="str">
            <v>补肾系列</v>
          </cell>
          <cell r="D63">
            <v>6</v>
          </cell>
          <cell r="E63">
            <v>9</v>
          </cell>
          <cell r="F63">
            <v>1076.5</v>
          </cell>
          <cell r="G63">
            <v>26</v>
          </cell>
          <cell r="H63" t="str">
            <v>丹参+通脉</v>
          </cell>
          <cell r="I63">
            <v>25</v>
          </cell>
          <cell r="J63">
            <v>29</v>
          </cell>
          <cell r="K63">
            <v>39.9</v>
          </cell>
          <cell r="L63">
            <v>1</v>
          </cell>
          <cell r="M63" t="str">
            <v>氨糖软骨素维生素D钙片</v>
          </cell>
          <cell r="N63">
            <v>29</v>
          </cell>
          <cell r="O63">
            <v>32</v>
          </cell>
          <cell r="P63">
            <v>540</v>
          </cell>
        </row>
        <row r="64">
          <cell r="B64">
            <v>724</v>
          </cell>
          <cell r="C64" t="str">
            <v>补肾系列</v>
          </cell>
          <cell r="D64">
            <v>20</v>
          </cell>
          <cell r="E64">
            <v>27</v>
          </cell>
          <cell r="F64">
            <v>2700.7</v>
          </cell>
          <cell r="G64">
            <v>55</v>
          </cell>
          <cell r="H64" t="str">
            <v>丹参+通脉</v>
          </cell>
          <cell r="I64">
            <v>78</v>
          </cell>
          <cell r="J64">
            <v>85</v>
          </cell>
          <cell r="K64">
            <v>438.9</v>
          </cell>
          <cell r="L64">
            <v>13</v>
          </cell>
          <cell r="M64" t="str">
            <v/>
          </cell>
          <cell r="N64">
            <v>50</v>
          </cell>
          <cell r="O64">
            <v>57</v>
          </cell>
          <cell r="P64" t="str">
            <v/>
          </cell>
        </row>
        <row r="65">
          <cell r="B65">
            <v>726</v>
          </cell>
          <cell r="C65" t="str">
            <v>补肾系列</v>
          </cell>
          <cell r="D65">
            <v>27</v>
          </cell>
          <cell r="E65">
            <v>34</v>
          </cell>
          <cell r="F65">
            <v>3976.36</v>
          </cell>
          <cell r="G65">
            <v>78</v>
          </cell>
          <cell r="H65" t="str">
            <v>丹参+通脉</v>
          </cell>
          <cell r="I65">
            <v>42</v>
          </cell>
          <cell r="J65">
            <v>49</v>
          </cell>
          <cell r="K65">
            <v>795.9</v>
          </cell>
          <cell r="L65">
            <v>24</v>
          </cell>
          <cell r="M65" t="str">
            <v>氨糖软骨素维生素D钙片</v>
          </cell>
          <cell r="N65">
            <v>95</v>
          </cell>
          <cell r="O65">
            <v>109</v>
          </cell>
          <cell r="P65">
            <v>752.4</v>
          </cell>
        </row>
        <row r="66">
          <cell r="B66">
            <v>727</v>
          </cell>
          <cell r="C66" t="str">
            <v>补肾系列</v>
          </cell>
          <cell r="D66">
            <v>6</v>
          </cell>
          <cell r="E66">
            <v>11</v>
          </cell>
          <cell r="F66">
            <v>1419.64</v>
          </cell>
          <cell r="G66">
            <v>35</v>
          </cell>
          <cell r="H66" t="str">
            <v>丹参+通脉</v>
          </cell>
          <cell r="I66">
            <v>12</v>
          </cell>
          <cell r="J66">
            <v>13</v>
          </cell>
          <cell r="K66">
            <v>153.9</v>
          </cell>
          <cell r="L66">
            <v>4</v>
          </cell>
          <cell r="M66" t="str">
            <v>氨糖软骨素维生素D钙片</v>
          </cell>
          <cell r="N66">
            <v>32</v>
          </cell>
          <cell r="O66">
            <v>36</v>
          </cell>
          <cell r="P66">
            <v>396</v>
          </cell>
        </row>
        <row r="67">
          <cell r="B67">
            <v>730</v>
          </cell>
          <cell r="C67" t="str">
            <v>补肾系列</v>
          </cell>
          <cell r="D67">
            <v>27</v>
          </cell>
          <cell r="E67">
            <v>34</v>
          </cell>
          <cell r="F67">
            <v>14158.99</v>
          </cell>
          <cell r="G67">
            <v>187</v>
          </cell>
          <cell r="H67" t="str">
            <v>丹参+通脉</v>
          </cell>
          <cell r="I67">
            <v>28</v>
          </cell>
          <cell r="J67">
            <v>33</v>
          </cell>
          <cell r="K67">
            <v>437</v>
          </cell>
          <cell r="L67">
            <v>12</v>
          </cell>
          <cell r="M67" t="str">
            <v>氨糖软骨素维生素D钙片</v>
          </cell>
          <cell r="N67">
            <v>43</v>
          </cell>
          <cell r="O67">
            <v>50</v>
          </cell>
          <cell r="P67">
            <v>1572</v>
          </cell>
        </row>
        <row r="68">
          <cell r="B68">
            <v>732</v>
          </cell>
          <cell r="C68" t="str">
            <v>补肾系列</v>
          </cell>
          <cell r="D68">
            <v>6</v>
          </cell>
          <cell r="E68">
            <v>9</v>
          </cell>
          <cell r="F68">
            <v>4296.18</v>
          </cell>
          <cell r="G68">
            <v>71</v>
          </cell>
          <cell r="H68" t="str">
            <v>丹参+通脉</v>
          </cell>
          <cell r="I68">
            <v>16</v>
          </cell>
          <cell r="J68">
            <v>18</v>
          </cell>
          <cell r="K68">
            <v>39.9</v>
          </cell>
          <cell r="L68">
            <v>1</v>
          </cell>
          <cell r="M68" t="str">
            <v/>
          </cell>
          <cell r="N68">
            <v>44</v>
          </cell>
          <cell r="O68">
            <v>50</v>
          </cell>
          <cell r="P68" t="str">
            <v/>
          </cell>
        </row>
        <row r="69">
          <cell r="B69">
            <v>733</v>
          </cell>
          <cell r="C69" t="str">
            <v>补肾系列</v>
          </cell>
          <cell r="D69">
            <v>6</v>
          </cell>
          <cell r="E69">
            <v>9</v>
          </cell>
          <cell r="F69">
            <v>739.66</v>
          </cell>
          <cell r="G69">
            <v>25</v>
          </cell>
          <cell r="H69" t="str">
            <v>丹参+通脉</v>
          </cell>
          <cell r="I69">
            <v>7</v>
          </cell>
          <cell r="J69">
            <v>7</v>
          </cell>
          <cell r="K69">
            <v>195.7</v>
          </cell>
          <cell r="L69">
            <v>5</v>
          </cell>
          <cell r="M69" t="str">
            <v/>
          </cell>
          <cell r="N69">
            <v>21</v>
          </cell>
          <cell r="O69">
            <v>22</v>
          </cell>
          <cell r="P69" t="str">
            <v/>
          </cell>
        </row>
        <row r="70">
          <cell r="B70">
            <v>737</v>
          </cell>
          <cell r="C70" t="str">
            <v>补肾系列</v>
          </cell>
          <cell r="D70">
            <v>17</v>
          </cell>
          <cell r="E70">
            <v>22</v>
          </cell>
          <cell r="F70">
            <v>1162</v>
          </cell>
          <cell r="G70">
            <v>29</v>
          </cell>
          <cell r="H70" t="str">
            <v>丹参+通脉</v>
          </cell>
          <cell r="I70">
            <v>35</v>
          </cell>
          <cell r="J70">
            <v>40</v>
          </cell>
          <cell r="K70">
            <v>449.51</v>
          </cell>
          <cell r="L70">
            <v>14</v>
          </cell>
          <cell r="M70" t="str">
            <v>氨糖软骨素维生素D钙片</v>
          </cell>
          <cell r="N70">
            <v>76</v>
          </cell>
          <cell r="O70">
            <v>86</v>
          </cell>
          <cell r="P70">
            <v>1793.6</v>
          </cell>
        </row>
        <row r="71">
          <cell r="B71">
            <v>738</v>
          </cell>
          <cell r="C71" t="str">
            <v>补肾系列</v>
          </cell>
          <cell r="D71">
            <v>6</v>
          </cell>
          <cell r="E71">
            <v>9</v>
          </cell>
          <cell r="F71">
            <v>1287.02</v>
          </cell>
          <cell r="G71">
            <v>23</v>
          </cell>
          <cell r="H71" t="str">
            <v>丹参+通脉</v>
          </cell>
          <cell r="I71">
            <v>28</v>
          </cell>
          <cell r="J71">
            <v>33</v>
          </cell>
          <cell r="K71">
            <v>438.91</v>
          </cell>
          <cell r="L71">
            <v>13</v>
          </cell>
          <cell r="M71" t="str">
            <v>氨糖软骨素维生素D钙片</v>
          </cell>
          <cell r="N71">
            <v>48</v>
          </cell>
          <cell r="O71">
            <v>55</v>
          </cell>
          <cell r="P71">
            <v>792.02</v>
          </cell>
        </row>
        <row r="72">
          <cell r="B72">
            <v>740</v>
          </cell>
          <cell r="C72" t="str">
            <v>补肾系列</v>
          </cell>
          <cell r="D72">
            <v>6</v>
          </cell>
          <cell r="E72">
            <v>9</v>
          </cell>
          <cell r="F72">
            <v>3131</v>
          </cell>
          <cell r="G72">
            <v>44</v>
          </cell>
          <cell r="H72" t="str">
            <v>丹参+通脉</v>
          </cell>
          <cell r="I72">
            <v>31</v>
          </cell>
          <cell r="J72">
            <v>35</v>
          </cell>
          <cell r="K72">
            <v>117.8</v>
          </cell>
          <cell r="L72">
            <v>3</v>
          </cell>
          <cell r="M72" t="str">
            <v>氨糖软骨素维生素D钙片</v>
          </cell>
          <cell r="N72">
            <v>31</v>
          </cell>
          <cell r="O72">
            <v>35</v>
          </cell>
          <cell r="P72">
            <v>178.2</v>
          </cell>
        </row>
        <row r="73">
          <cell r="B73">
            <v>741</v>
          </cell>
          <cell r="C73" t="str">
            <v>补肾系列</v>
          </cell>
          <cell r="D73">
            <v>6</v>
          </cell>
          <cell r="E73">
            <v>9</v>
          </cell>
          <cell r="F73">
            <v>648.21</v>
          </cell>
          <cell r="G73">
            <v>9</v>
          </cell>
          <cell r="H73" t="str">
            <v>丹参+通脉</v>
          </cell>
          <cell r="I73">
            <v>21</v>
          </cell>
          <cell r="J73">
            <v>23</v>
          </cell>
          <cell r="K73">
            <v>373.81</v>
          </cell>
          <cell r="L73">
            <v>12</v>
          </cell>
          <cell r="M73" t="str">
            <v/>
          </cell>
          <cell r="N73">
            <v>27</v>
          </cell>
          <cell r="O73">
            <v>29</v>
          </cell>
          <cell r="P73" t="str">
            <v/>
          </cell>
        </row>
        <row r="74">
          <cell r="B74">
            <v>742</v>
          </cell>
          <cell r="C74" t="str">
            <v>补肾系列</v>
          </cell>
          <cell r="D74">
            <v>27</v>
          </cell>
          <cell r="E74">
            <v>34</v>
          </cell>
          <cell r="F74">
            <v>1558.23</v>
          </cell>
          <cell r="G74">
            <v>35</v>
          </cell>
          <cell r="H74" t="str">
            <v>丹参+通脉</v>
          </cell>
          <cell r="I74">
            <v>55</v>
          </cell>
          <cell r="J74">
            <v>63</v>
          </cell>
          <cell r="K74">
            <v>518.7</v>
          </cell>
          <cell r="L74">
            <v>14</v>
          </cell>
          <cell r="M74" t="str">
            <v>氨糖软骨素维生素D钙片</v>
          </cell>
          <cell r="N74">
            <v>30</v>
          </cell>
          <cell r="O74">
            <v>33</v>
          </cell>
          <cell r="P74">
            <v>594</v>
          </cell>
        </row>
        <row r="75">
          <cell r="B75">
            <v>743</v>
          </cell>
          <cell r="C75" t="str">
            <v>补肾系列</v>
          </cell>
          <cell r="D75">
            <v>6</v>
          </cell>
          <cell r="E75">
            <v>9</v>
          </cell>
          <cell r="F75">
            <v>768</v>
          </cell>
          <cell r="G75">
            <v>18</v>
          </cell>
          <cell r="H75" t="str">
            <v>丹参+通脉</v>
          </cell>
          <cell r="I75">
            <v>36</v>
          </cell>
          <cell r="J75">
            <v>41</v>
          </cell>
          <cell r="K75">
            <v>38</v>
          </cell>
          <cell r="L75">
            <v>1</v>
          </cell>
          <cell r="M75" t="str">
            <v/>
          </cell>
          <cell r="N75">
            <v>27</v>
          </cell>
          <cell r="O75">
            <v>29</v>
          </cell>
          <cell r="P75" t="str">
            <v/>
          </cell>
        </row>
        <row r="76">
          <cell r="B76">
            <v>744</v>
          </cell>
          <cell r="C76" t="str">
            <v>补肾系列</v>
          </cell>
          <cell r="D76">
            <v>20</v>
          </cell>
          <cell r="E76">
            <v>27</v>
          </cell>
          <cell r="F76">
            <v>2692</v>
          </cell>
          <cell r="G76">
            <v>38</v>
          </cell>
          <cell r="H76" t="str">
            <v>丹参+通脉</v>
          </cell>
          <cell r="I76">
            <v>31</v>
          </cell>
          <cell r="J76">
            <v>35</v>
          </cell>
          <cell r="K76">
            <v>199.5</v>
          </cell>
          <cell r="L76">
            <v>6</v>
          </cell>
          <cell r="M76" t="str">
            <v>氨糖软骨素维生素D钙片</v>
          </cell>
          <cell r="N76">
            <v>50</v>
          </cell>
          <cell r="O76">
            <v>57</v>
          </cell>
          <cell r="P76">
            <v>198</v>
          </cell>
        </row>
        <row r="77">
          <cell r="B77">
            <v>745</v>
          </cell>
          <cell r="C77" t="str">
            <v>补肾系列</v>
          </cell>
          <cell r="D77">
            <v>17</v>
          </cell>
          <cell r="E77">
            <v>22</v>
          </cell>
          <cell r="F77">
            <v>3730.27</v>
          </cell>
          <cell r="G77">
            <v>80</v>
          </cell>
          <cell r="H77" t="str">
            <v>丹参+通脉</v>
          </cell>
          <cell r="I77">
            <v>45</v>
          </cell>
          <cell r="J77">
            <v>52</v>
          </cell>
          <cell r="K77">
            <v>117.8</v>
          </cell>
          <cell r="L77">
            <v>3</v>
          </cell>
          <cell r="M77" t="str">
            <v>氨糖软骨素维生素D钙片</v>
          </cell>
          <cell r="N77">
            <v>67</v>
          </cell>
          <cell r="O77">
            <v>78</v>
          </cell>
          <cell r="P77">
            <v>594.01</v>
          </cell>
        </row>
        <row r="78">
          <cell r="B78">
            <v>746</v>
          </cell>
          <cell r="C78" t="str">
            <v>补肾系列</v>
          </cell>
          <cell r="D78">
            <v>17</v>
          </cell>
          <cell r="E78">
            <v>22</v>
          </cell>
          <cell r="F78">
            <v>1105.5</v>
          </cell>
          <cell r="G78">
            <v>26</v>
          </cell>
          <cell r="H78" t="str">
            <v>丹参+通脉</v>
          </cell>
          <cell r="I78">
            <v>15</v>
          </cell>
          <cell r="J78">
            <v>17</v>
          </cell>
          <cell r="K78">
            <v>518.71</v>
          </cell>
          <cell r="L78">
            <v>15</v>
          </cell>
          <cell r="M78" t="str">
            <v>氨糖软骨素维生素D钙片</v>
          </cell>
          <cell r="N78">
            <v>47</v>
          </cell>
          <cell r="O78">
            <v>53</v>
          </cell>
          <cell r="P78">
            <v>396</v>
          </cell>
        </row>
        <row r="79">
          <cell r="B79">
            <v>747</v>
          </cell>
          <cell r="C79" t="str">
            <v>补肾系列</v>
          </cell>
          <cell r="D79">
            <v>6</v>
          </cell>
          <cell r="E79">
            <v>9</v>
          </cell>
          <cell r="F79">
            <v>2355.41</v>
          </cell>
          <cell r="G79">
            <v>38</v>
          </cell>
          <cell r="H79" t="str">
            <v>丹参+通脉</v>
          </cell>
          <cell r="I79">
            <v>10</v>
          </cell>
          <cell r="J79">
            <v>10</v>
          </cell>
          <cell r="K79">
            <v>390.61</v>
          </cell>
          <cell r="L79">
            <v>12</v>
          </cell>
          <cell r="M79" t="str">
            <v>氨糖软骨素维生素D钙片</v>
          </cell>
          <cell r="N79">
            <v>27</v>
          </cell>
          <cell r="O79">
            <v>29</v>
          </cell>
          <cell r="P79">
            <v>396</v>
          </cell>
        </row>
        <row r="80">
          <cell r="B80">
            <v>748</v>
          </cell>
          <cell r="C80" t="str">
            <v>补肾系列</v>
          </cell>
          <cell r="D80">
            <v>6</v>
          </cell>
          <cell r="E80">
            <v>9</v>
          </cell>
          <cell r="F80">
            <v>1129.5</v>
          </cell>
          <cell r="G80">
            <v>30</v>
          </cell>
          <cell r="H80" t="str">
            <v>丹参+通脉</v>
          </cell>
          <cell r="I80">
            <v>21</v>
          </cell>
          <cell r="J80">
            <v>24</v>
          </cell>
          <cell r="K80">
            <v>506.74</v>
          </cell>
          <cell r="L80">
            <v>15</v>
          </cell>
          <cell r="M80" t="str">
            <v>氨糖软骨素维生素D钙片</v>
          </cell>
          <cell r="N80">
            <v>14</v>
          </cell>
          <cell r="O80">
            <v>13</v>
          </cell>
          <cell r="P80">
            <v>396</v>
          </cell>
        </row>
        <row r="81">
          <cell r="B81">
            <v>750</v>
          </cell>
          <cell r="C81" t="str">
            <v>补肾系列</v>
          </cell>
          <cell r="D81">
            <v>27</v>
          </cell>
          <cell r="E81">
            <v>35</v>
          </cell>
          <cell r="F81">
            <v>4249.08</v>
          </cell>
          <cell r="G81">
            <v>69</v>
          </cell>
          <cell r="H81" t="str">
            <v>丹参+通脉</v>
          </cell>
          <cell r="I81">
            <v>78</v>
          </cell>
          <cell r="J81">
            <v>85</v>
          </cell>
          <cell r="K81">
            <v>798</v>
          </cell>
          <cell r="L81">
            <v>23</v>
          </cell>
          <cell r="M81" t="str">
            <v>氨糖软骨素维生素D钙片</v>
          </cell>
          <cell r="N81">
            <v>84</v>
          </cell>
          <cell r="O81">
            <v>96</v>
          </cell>
          <cell r="P81">
            <v>186.98</v>
          </cell>
        </row>
        <row r="82">
          <cell r="B82">
            <v>752</v>
          </cell>
          <cell r="C82" t="str">
            <v>补肾系列</v>
          </cell>
          <cell r="D82">
            <v>6</v>
          </cell>
          <cell r="E82">
            <v>9</v>
          </cell>
          <cell r="F82">
            <v>754.83</v>
          </cell>
          <cell r="G82">
            <v>16</v>
          </cell>
          <cell r="H82" t="str">
            <v>丹参+通脉</v>
          </cell>
          <cell r="I82">
            <v>9</v>
          </cell>
          <cell r="J82">
            <v>9</v>
          </cell>
          <cell r="K82">
            <v>716.31</v>
          </cell>
          <cell r="L82">
            <v>20</v>
          </cell>
          <cell r="M82" t="str">
            <v/>
          </cell>
          <cell r="N82">
            <v>16</v>
          </cell>
          <cell r="O82">
            <v>15</v>
          </cell>
          <cell r="P82" t="str">
            <v/>
          </cell>
        </row>
        <row r="83">
          <cell r="B83">
            <v>753</v>
          </cell>
          <cell r="C83" t="str">
            <v>补肾系列</v>
          </cell>
          <cell r="D83">
            <v>6</v>
          </cell>
          <cell r="E83">
            <v>9</v>
          </cell>
          <cell r="F83">
            <v>824.3</v>
          </cell>
          <cell r="G83">
            <v>22</v>
          </cell>
          <cell r="H83" t="str">
            <v>丹参+通脉</v>
          </cell>
          <cell r="I83">
            <v>9</v>
          </cell>
          <cell r="J83">
            <v>9</v>
          </cell>
          <cell r="K83">
            <v>110.2</v>
          </cell>
          <cell r="L83">
            <v>3</v>
          </cell>
          <cell r="M83" t="str">
            <v/>
          </cell>
          <cell r="N83">
            <v>11</v>
          </cell>
          <cell r="O83">
            <v>9</v>
          </cell>
          <cell r="P83" t="str">
            <v/>
          </cell>
        </row>
        <row r="84">
          <cell r="B84">
            <v>754</v>
          </cell>
          <cell r="C84" t="str">
            <v>补肾系列</v>
          </cell>
          <cell r="D84">
            <v>12</v>
          </cell>
          <cell r="E84">
            <v>15</v>
          </cell>
          <cell r="F84">
            <v>1975.5</v>
          </cell>
          <cell r="G84">
            <v>22</v>
          </cell>
          <cell r="H84" t="str">
            <v>丹参+通脉</v>
          </cell>
          <cell r="I84">
            <v>9</v>
          </cell>
          <cell r="J84">
            <v>9</v>
          </cell>
          <cell r="K84">
            <v>199.51</v>
          </cell>
          <cell r="L84">
            <v>6</v>
          </cell>
          <cell r="M84" t="str">
            <v>氨糖软骨素维生素D钙片</v>
          </cell>
          <cell r="N84">
            <v>20</v>
          </cell>
          <cell r="O84">
            <v>20</v>
          </cell>
          <cell r="P84">
            <v>396</v>
          </cell>
        </row>
        <row r="85">
          <cell r="B85">
            <v>755</v>
          </cell>
          <cell r="C85" t="str">
            <v>补肾系列</v>
          </cell>
          <cell r="D85">
            <v>6</v>
          </cell>
          <cell r="E85">
            <v>9</v>
          </cell>
          <cell r="F85">
            <v>489</v>
          </cell>
          <cell r="G85">
            <v>9</v>
          </cell>
          <cell r="H85" t="str">
            <v/>
          </cell>
          <cell r="I85">
            <v>9</v>
          </cell>
          <cell r="J85">
            <v>9</v>
          </cell>
          <cell r="K85" t="str">
            <v/>
          </cell>
          <cell r="L85" t="str">
            <v/>
          </cell>
          <cell r="M85" t="str">
            <v/>
          </cell>
          <cell r="N85">
            <v>11</v>
          </cell>
          <cell r="O85">
            <v>9</v>
          </cell>
          <cell r="P85" t="str">
            <v/>
          </cell>
        </row>
        <row r="86">
          <cell r="B86">
            <v>101453</v>
          </cell>
          <cell r="C86" t="str">
            <v>补肾系列</v>
          </cell>
          <cell r="D86">
            <v>6</v>
          </cell>
          <cell r="E86">
            <v>11</v>
          </cell>
          <cell r="F86">
            <v>2152.01</v>
          </cell>
          <cell r="G86">
            <v>36</v>
          </cell>
          <cell r="H86" t="str">
            <v>丹参+通脉</v>
          </cell>
          <cell r="I86">
            <v>15</v>
          </cell>
          <cell r="J86">
            <v>17</v>
          </cell>
          <cell r="K86">
            <v>421.8</v>
          </cell>
          <cell r="L86">
            <v>11</v>
          </cell>
          <cell r="M86" t="str">
            <v/>
          </cell>
          <cell r="N86">
            <v>29</v>
          </cell>
          <cell r="O86">
            <v>32</v>
          </cell>
          <cell r="P86" t="str">
            <v/>
          </cell>
        </row>
        <row r="87">
          <cell r="B87">
            <v>102478</v>
          </cell>
          <cell r="C87" t="str">
            <v>补肾系列</v>
          </cell>
          <cell r="D87">
            <v>6</v>
          </cell>
          <cell r="E87">
            <v>9</v>
          </cell>
          <cell r="F87">
            <v>847</v>
          </cell>
          <cell r="G87">
            <v>18</v>
          </cell>
          <cell r="H87" t="str">
            <v>丹参+通脉</v>
          </cell>
          <cell r="I87">
            <v>9</v>
          </cell>
          <cell r="J87">
            <v>9</v>
          </cell>
          <cell r="K87">
            <v>114</v>
          </cell>
          <cell r="L87">
            <v>3</v>
          </cell>
          <cell r="M87" t="str">
            <v/>
          </cell>
          <cell r="N87">
            <v>16</v>
          </cell>
          <cell r="O87">
            <v>15</v>
          </cell>
          <cell r="P87" t="str">
            <v/>
          </cell>
        </row>
        <row r="88">
          <cell r="B88">
            <v>102479</v>
          </cell>
          <cell r="C88" t="str">
            <v>补肾系列</v>
          </cell>
          <cell r="D88">
            <v>6</v>
          </cell>
          <cell r="E88">
            <v>11</v>
          </cell>
          <cell r="F88">
            <v>503.82</v>
          </cell>
          <cell r="G88">
            <v>16</v>
          </cell>
          <cell r="H88" t="str">
            <v>丹参+通脉</v>
          </cell>
          <cell r="I88">
            <v>15</v>
          </cell>
          <cell r="J88">
            <v>17</v>
          </cell>
          <cell r="K88">
            <v>38</v>
          </cell>
          <cell r="L88">
            <v>1</v>
          </cell>
          <cell r="M88" t="str">
            <v>氨糖软骨素维生素D钙片</v>
          </cell>
          <cell r="N88">
            <v>29</v>
          </cell>
          <cell r="O88">
            <v>32</v>
          </cell>
          <cell r="P88">
            <v>1188</v>
          </cell>
        </row>
        <row r="89">
          <cell r="B89">
            <v>102564</v>
          </cell>
          <cell r="C89" t="str">
            <v>补肾系列</v>
          </cell>
          <cell r="D89">
            <v>6</v>
          </cell>
          <cell r="E89">
            <v>9</v>
          </cell>
          <cell r="F89">
            <v>1491.38</v>
          </cell>
          <cell r="G89">
            <v>25</v>
          </cell>
          <cell r="H89" t="str">
            <v>丹参+通脉</v>
          </cell>
          <cell r="I89">
            <v>9</v>
          </cell>
          <cell r="J89">
            <v>9</v>
          </cell>
          <cell r="K89">
            <v>269.8</v>
          </cell>
          <cell r="L89">
            <v>7</v>
          </cell>
          <cell r="M89" t="str">
            <v>氨糖软骨素维生素D钙片</v>
          </cell>
          <cell r="N89">
            <v>16</v>
          </cell>
          <cell r="O89">
            <v>15</v>
          </cell>
          <cell r="P89">
            <v>198</v>
          </cell>
        </row>
        <row r="90">
          <cell r="B90">
            <v>102565</v>
          </cell>
          <cell r="C90" t="str">
            <v>补肾系列</v>
          </cell>
          <cell r="D90">
            <v>6</v>
          </cell>
          <cell r="E90">
            <v>11</v>
          </cell>
          <cell r="F90">
            <v>1397.49</v>
          </cell>
          <cell r="G90">
            <v>22</v>
          </cell>
          <cell r="H90" t="str">
            <v>丹参+通脉</v>
          </cell>
          <cell r="I90">
            <v>15</v>
          </cell>
          <cell r="J90">
            <v>17</v>
          </cell>
          <cell r="K90">
            <v>266</v>
          </cell>
          <cell r="L90">
            <v>7</v>
          </cell>
          <cell r="M90" t="str">
            <v/>
          </cell>
          <cell r="N90">
            <v>29</v>
          </cell>
          <cell r="O90">
            <v>32</v>
          </cell>
          <cell r="P90" t="str">
            <v/>
          </cell>
        </row>
        <row r="91">
          <cell r="B91">
            <v>102567</v>
          </cell>
          <cell r="C91" t="str">
            <v>补肾系列</v>
          </cell>
          <cell r="D91">
            <v>6</v>
          </cell>
          <cell r="E91">
            <v>11</v>
          </cell>
          <cell r="F91">
            <v>976.31</v>
          </cell>
          <cell r="G91">
            <v>22</v>
          </cell>
          <cell r="H91" t="str">
            <v>丹参+通脉</v>
          </cell>
          <cell r="I91">
            <v>15</v>
          </cell>
          <cell r="J91">
            <v>17</v>
          </cell>
          <cell r="K91">
            <v>399</v>
          </cell>
          <cell r="L91">
            <v>12</v>
          </cell>
          <cell r="M91" t="str">
            <v>氨糖软骨素维生素D钙片</v>
          </cell>
          <cell r="N91">
            <v>29</v>
          </cell>
          <cell r="O91">
            <v>32</v>
          </cell>
          <cell r="P91">
            <v>396.01</v>
          </cell>
        </row>
        <row r="92">
          <cell r="B92">
            <v>102934</v>
          </cell>
          <cell r="C92" t="str">
            <v>补肾系列</v>
          </cell>
          <cell r="D92">
            <v>24</v>
          </cell>
          <cell r="E92">
            <v>32</v>
          </cell>
          <cell r="F92">
            <v>1933.5</v>
          </cell>
          <cell r="G92">
            <v>40</v>
          </cell>
          <cell r="H92" t="str">
            <v>丹参+通脉</v>
          </cell>
          <cell r="I92">
            <v>42</v>
          </cell>
          <cell r="J92">
            <v>49</v>
          </cell>
          <cell r="K92">
            <v>478.71</v>
          </cell>
          <cell r="L92">
            <v>15</v>
          </cell>
          <cell r="M92" t="str">
            <v>氨糖软骨素维生素D钙片</v>
          </cell>
          <cell r="N92">
            <v>30</v>
          </cell>
          <cell r="O92">
            <v>33</v>
          </cell>
          <cell r="P92">
            <v>1188.01</v>
          </cell>
        </row>
        <row r="93">
          <cell r="B93">
            <v>102935</v>
          </cell>
          <cell r="C93" t="str">
            <v>补肾系列</v>
          </cell>
          <cell r="D93">
            <v>6</v>
          </cell>
          <cell r="E93">
            <v>11</v>
          </cell>
          <cell r="F93">
            <v>1807.51</v>
          </cell>
          <cell r="G93">
            <v>38</v>
          </cell>
          <cell r="H93" t="str">
            <v>丹参+通脉</v>
          </cell>
          <cell r="I93">
            <v>15</v>
          </cell>
          <cell r="J93">
            <v>17</v>
          </cell>
          <cell r="K93">
            <v>431</v>
          </cell>
          <cell r="L93">
            <v>13</v>
          </cell>
          <cell r="M93" t="str">
            <v/>
          </cell>
          <cell r="N93">
            <v>29</v>
          </cell>
          <cell r="O93">
            <v>32</v>
          </cell>
          <cell r="P93" t="str">
            <v/>
          </cell>
        </row>
        <row r="94">
          <cell r="B94">
            <v>103198</v>
          </cell>
          <cell r="C94" t="str">
            <v>补肾系列</v>
          </cell>
          <cell r="D94">
            <v>6</v>
          </cell>
          <cell r="E94">
            <v>11</v>
          </cell>
          <cell r="F94">
            <v>1988.06</v>
          </cell>
          <cell r="G94">
            <v>43</v>
          </cell>
          <cell r="H94" t="str">
            <v>丹参+通脉</v>
          </cell>
          <cell r="I94">
            <v>15</v>
          </cell>
          <cell r="J94">
            <v>17</v>
          </cell>
          <cell r="K94">
            <v>219.24</v>
          </cell>
          <cell r="L94">
            <v>10</v>
          </cell>
          <cell r="M94" t="str">
            <v>氨糖软骨素维生素D钙片</v>
          </cell>
          <cell r="N94">
            <v>29</v>
          </cell>
          <cell r="O94">
            <v>32</v>
          </cell>
          <cell r="P94">
            <v>792</v>
          </cell>
        </row>
        <row r="95">
          <cell r="B95">
            <v>103199</v>
          </cell>
          <cell r="C95" t="str">
            <v>补肾系列</v>
          </cell>
          <cell r="D95">
            <v>6</v>
          </cell>
          <cell r="E95">
            <v>11</v>
          </cell>
          <cell r="F95">
            <v>989.8</v>
          </cell>
          <cell r="G95">
            <v>32</v>
          </cell>
          <cell r="H95" t="str">
            <v>丹参+通脉</v>
          </cell>
          <cell r="I95">
            <v>15</v>
          </cell>
          <cell r="J95">
            <v>17</v>
          </cell>
          <cell r="K95">
            <v>279.3</v>
          </cell>
          <cell r="L95">
            <v>9</v>
          </cell>
          <cell r="M95" t="str">
            <v/>
          </cell>
          <cell r="N95">
            <v>29</v>
          </cell>
          <cell r="O95">
            <v>32</v>
          </cell>
          <cell r="P95" t="str">
            <v/>
          </cell>
        </row>
        <row r="96">
          <cell r="B96">
            <v>103639</v>
          </cell>
          <cell r="C96" t="str">
            <v>补肾系列</v>
          </cell>
          <cell r="D96">
            <v>6</v>
          </cell>
          <cell r="E96">
            <v>11</v>
          </cell>
          <cell r="F96">
            <v>1362.53</v>
          </cell>
          <cell r="G96">
            <v>20</v>
          </cell>
          <cell r="H96" t="str">
            <v>丹参+通脉</v>
          </cell>
          <cell r="I96">
            <v>15</v>
          </cell>
          <cell r="J96">
            <v>17</v>
          </cell>
          <cell r="K96">
            <v>273.71</v>
          </cell>
          <cell r="L96">
            <v>8</v>
          </cell>
          <cell r="M96" t="str">
            <v/>
          </cell>
          <cell r="N96">
            <v>29</v>
          </cell>
          <cell r="O96">
            <v>32</v>
          </cell>
          <cell r="P96" t="str">
            <v/>
          </cell>
        </row>
        <row r="97">
          <cell r="B97">
            <v>104428</v>
          </cell>
          <cell r="C97" t="str">
            <v>补肾系列</v>
          </cell>
          <cell r="D97" t="str">
            <v/>
          </cell>
          <cell r="E97" t="str">
            <v/>
          </cell>
          <cell r="F97">
            <v>714.4</v>
          </cell>
          <cell r="G97">
            <v>11</v>
          </cell>
          <cell r="H97" t="str">
            <v/>
          </cell>
          <cell r="I97" t="str">
            <v/>
          </cell>
          <cell r="J97" t="str">
            <v/>
          </cell>
          <cell r="K97" t="str">
            <v/>
          </cell>
          <cell r="L97" t="str">
            <v/>
          </cell>
          <cell r="M97" t="str">
            <v>氨糖软骨素维生素D钙片</v>
          </cell>
          <cell r="N97" t="str">
            <v/>
          </cell>
          <cell r="O97" t="str">
            <v/>
          </cell>
          <cell r="P97">
            <v>386.99</v>
          </cell>
        </row>
        <row r="98">
          <cell r="B98">
            <v>104429</v>
          </cell>
          <cell r="C98" t="str">
            <v>补肾系列</v>
          </cell>
          <cell r="D98" t="str">
            <v/>
          </cell>
          <cell r="E98" t="str">
            <v/>
          </cell>
          <cell r="F98">
            <v>148.9</v>
          </cell>
          <cell r="G98">
            <v>5</v>
          </cell>
          <cell r="H98" t="str">
            <v/>
          </cell>
          <cell r="I98" t="str">
            <v/>
          </cell>
          <cell r="J98" t="str">
            <v/>
          </cell>
          <cell r="K98" t="str">
            <v/>
          </cell>
          <cell r="L98" t="str">
            <v/>
          </cell>
          <cell r="M98" t="str">
            <v/>
          </cell>
          <cell r="N98" t="str">
            <v/>
          </cell>
          <cell r="O98" t="str">
            <v/>
          </cell>
          <cell r="P98" t="str">
            <v/>
          </cell>
        </row>
        <row r="99">
          <cell r="B99">
            <v>104430</v>
          </cell>
          <cell r="C99" t="str">
            <v>补肾系列</v>
          </cell>
          <cell r="D99" t="str">
            <v/>
          </cell>
          <cell r="E99" t="str">
            <v/>
          </cell>
          <cell r="F99">
            <v>713</v>
          </cell>
          <cell r="G99">
            <v>11</v>
          </cell>
          <cell r="H99" t="str">
            <v/>
          </cell>
          <cell r="I99" t="str">
            <v/>
          </cell>
          <cell r="J99" t="str">
            <v/>
          </cell>
          <cell r="K99" t="str">
            <v/>
          </cell>
          <cell r="L99" t="str">
            <v/>
          </cell>
          <cell r="M99" t="str">
            <v/>
          </cell>
          <cell r="N99" t="str">
            <v/>
          </cell>
          <cell r="O99" t="str">
            <v/>
          </cell>
          <cell r="P99" t="str">
            <v/>
          </cell>
        </row>
        <row r="100">
          <cell r="B100">
            <v>104533</v>
          </cell>
          <cell r="C100" t="str">
            <v>补肾系列</v>
          </cell>
          <cell r="D100" t="str">
            <v/>
          </cell>
          <cell r="E100" t="str">
            <v/>
          </cell>
          <cell r="F100">
            <v>1024.97</v>
          </cell>
          <cell r="G100">
            <v>24</v>
          </cell>
          <cell r="H100" t="str">
            <v>丹参+通脉</v>
          </cell>
          <cell r="I100" t="str">
            <v/>
          </cell>
          <cell r="J100" t="str">
            <v/>
          </cell>
          <cell r="K100">
            <v>119.7</v>
          </cell>
          <cell r="L100">
            <v>4</v>
          </cell>
          <cell r="M100" t="str">
            <v>氨糖软骨素维生素D钙片</v>
          </cell>
          <cell r="N100" t="str">
            <v/>
          </cell>
          <cell r="O100" t="str">
            <v/>
          </cell>
          <cell r="P100">
            <v>198</v>
          </cell>
        </row>
        <row r="101">
          <cell r="B101">
            <v>104838</v>
          </cell>
          <cell r="C101" t="str">
            <v>补肾系列</v>
          </cell>
          <cell r="D101" t="str">
            <v/>
          </cell>
          <cell r="E101" t="str">
            <v/>
          </cell>
          <cell r="F101">
            <v>410.8</v>
          </cell>
          <cell r="G101">
            <v>9</v>
          </cell>
          <cell r="H101" t="str">
            <v>丹参+通脉</v>
          </cell>
          <cell r="I101" t="str">
            <v/>
          </cell>
          <cell r="J101" t="str">
            <v/>
          </cell>
          <cell r="K101">
            <v>39.9</v>
          </cell>
          <cell r="L101">
            <v>1</v>
          </cell>
          <cell r="M101" t="str">
            <v>氨糖软骨素维生素D钙片</v>
          </cell>
          <cell r="N101" t="str">
            <v/>
          </cell>
          <cell r="O101" t="str">
            <v/>
          </cell>
          <cell r="P101">
            <v>792.01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5"/>
  <sheetViews>
    <sheetView workbookViewId="0">
      <pane xSplit="3" ySplit="2" topLeftCell="D3" activePane="bottomRight" state="frozen"/>
      <selection/>
      <selection pane="topRight"/>
      <selection pane="bottomLeft"/>
      <selection pane="bottomRight" activeCell="C6" sqref="C6"/>
    </sheetView>
  </sheetViews>
  <sheetFormatPr defaultColWidth="9" defaultRowHeight="13.5"/>
  <cols>
    <col min="1" max="1" width="5.875" style="7" customWidth="1"/>
    <col min="2" max="2" width="11" style="7" customWidth="1"/>
    <col min="3" max="3" width="8.125" style="7" customWidth="1"/>
    <col min="4" max="4" width="17.25" style="83" customWidth="1"/>
    <col min="5" max="5" width="16" style="83" customWidth="1"/>
    <col min="6" max="6" width="14.125" style="7" customWidth="1"/>
    <col min="7" max="7" width="9.125" style="7" customWidth="1"/>
    <col min="8" max="8" width="7.5" style="7" customWidth="1"/>
    <col min="9" max="9" width="10.125" style="7" customWidth="1"/>
    <col min="10" max="10" width="16.25" style="124" customWidth="1"/>
    <col min="11" max="11" width="10.125" style="7" customWidth="1"/>
    <col min="12" max="12" width="11.125" style="125" customWidth="1"/>
    <col min="13" max="13" width="11.125" style="125" hidden="1" customWidth="1"/>
    <col min="14" max="14" width="7.25" style="125" customWidth="1"/>
    <col min="15" max="15" width="8.875" style="7" customWidth="1"/>
    <col min="16" max="17" width="9.75" style="7" customWidth="1"/>
    <col min="18" max="18" width="9.875" style="7" customWidth="1"/>
    <col min="19" max="19" width="7.25" style="125" customWidth="1"/>
    <col min="20" max="20" width="6" style="7" customWidth="1"/>
  </cols>
  <sheetData>
    <row r="1" ht="41" customHeight="1" spans="1:20">
      <c r="A1" s="126" t="s">
        <v>0</v>
      </c>
      <c r="B1" s="126"/>
      <c r="C1" s="126"/>
      <c r="D1" s="126"/>
      <c r="E1" s="126"/>
      <c r="F1" s="126"/>
      <c r="G1" s="126"/>
      <c r="H1" s="126"/>
      <c r="I1" s="126"/>
      <c r="J1" s="135"/>
      <c r="K1" s="126"/>
      <c r="L1" s="136" t="s">
        <v>1</v>
      </c>
      <c r="M1" s="136"/>
      <c r="N1" s="136"/>
      <c r="O1" s="137" t="s">
        <v>2</v>
      </c>
      <c r="P1" s="137"/>
      <c r="Q1" s="136" t="s">
        <v>3</v>
      </c>
      <c r="R1" s="136"/>
      <c r="S1" s="136"/>
      <c r="T1" s="126"/>
    </row>
    <row r="2" s="13" customFormat="1" ht="46" customHeight="1" spans="1:20">
      <c r="A2" s="127" t="s">
        <v>4</v>
      </c>
      <c r="B2" s="127" t="s">
        <v>5</v>
      </c>
      <c r="C2" s="127" t="s">
        <v>6</v>
      </c>
      <c r="D2" s="127" t="s">
        <v>7</v>
      </c>
      <c r="E2" s="127" t="s">
        <v>8</v>
      </c>
      <c r="F2" s="127" t="s">
        <v>9</v>
      </c>
      <c r="G2" s="127" t="s">
        <v>10</v>
      </c>
      <c r="H2" s="127" t="s">
        <v>11</v>
      </c>
      <c r="I2" s="127" t="s">
        <v>12</v>
      </c>
      <c r="J2" s="127" t="s">
        <v>13</v>
      </c>
      <c r="K2" s="127" t="s">
        <v>14</v>
      </c>
      <c r="L2" s="88" t="s">
        <v>15</v>
      </c>
      <c r="M2" s="88" t="s">
        <v>16</v>
      </c>
      <c r="N2" s="88" t="s">
        <v>17</v>
      </c>
      <c r="O2" s="127" t="s">
        <v>18</v>
      </c>
      <c r="P2" s="127" t="s">
        <v>19</v>
      </c>
      <c r="Q2" s="88" t="s">
        <v>20</v>
      </c>
      <c r="R2" s="88" t="s">
        <v>21</v>
      </c>
      <c r="S2" s="88" t="s">
        <v>22</v>
      </c>
      <c r="T2" s="153" t="s">
        <v>23</v>
      </c>
    </row>
    <row r="3" s="14" customFormat="1" ht="49" customHeight="1" spans="1:20">
      <c r="A3" s="128">
        <v>1</v>
      </c>
      <c r="B3" s="91" t="s">
        <v>24</v>
      </c>
      <c r="C3" s="129">
        <v>133360</v>
      </c>
      <c r="D3" s="129" t="s">
        <v>25</v>
      </c>
      <c r="E3" s="129" t="s">
        <v>26</v>
      </c>
      <c r="F3" s="129" t="s">
        <v>27</v>
      </c>
      <c r="G3" s="129">
        <f>VLOOKUP(C:C,[1]考核价查询!$A$1:$E$65536,5,0)</f>
        <v>16.4</v>
      </c>
      <c r="H3" s="129">
        <v>39.9</v>
      </c>
      <c r="I3" s="138">
        <f>(H3-G3)/H3</f>
        <v>0.588972431077694</v>
      </c>
      <c r="J3" s="139" t="s">
        <v>28</v>
      </c>
      <c r="K3" s="138" t="s">
        <v>29</v>
      </c>
      <c r="L3" s="140">
        <v>0.07</v>
      </c>
      <c r="M3" s="141">
        <f>H3*L3</f>
        <v>2.793</v>
      </c>
      <c r="N3" s="140">
        <v>0.09</v>
      </c>
      <c r="O3" s="72">
        <v>864</v>
      </c>
      <c r="P3" s="129"/>
      <c r="Q3" s="154">
        <v>1520</v>
      </c>
      <c r="R3" s="154">
        <v>2023</v>
      </c>
      <c r="S3" s="155" t="s">
        <v>30</v>
      </c>
      <c r="T3" s="129" t="s">
        <v>31</v>
      </c>
    </row>
    <row r="4" s="14" customFormat="1" ht="35" customHeight="1" spans="1:20">
      <c r="A4" s="128">
        <f>A3+1</f>
        <v>2</v>
      </c>
      <c r="B4" s="91"/>
      <c r="C4" s="129">
        <v>31440</v>
      </c>
      <c r="D4" s="129" t="s">
        <v>32</v>
      </c>
      <c r="E4" s="129" t="s">
        <v>33</v>
      </c>
      <c r="F4" s="129" t="s">
        <v>34</v>
      </c>
      <c r="G4" s="129">
        <f>VLOOKUP(C:C,[1]考核价查询!$A$1:$E$65536,5,0)</f>
        <v>15.2</v>
      </c>
      <c r="H4" s="129">
        <v>38</v>
      </c>
      <c r="I4" s="138">
        <f>(H4-G4)/H4</f>
        <v>0.6</v>
      </c>
      <c r="J4" s="139" t="s">
        <v>35</v>
      </c>
      <c r="K4" s="138" t="s">
        <v>29</v>
      </c>
      <c r="L4" s="140">
        <v>0.07</v>
      </c>
      <c r="M4" s="141">
        <f>H4*L4</f>
        <v>2.66</v>
      </c>
      <c r="N4" s="140">
        <v>0.09</v>
      </c>
      <c r="O4" s="72">
        <v>233</v>
      </c>
      <c r="P4" s="129"/>
      <c r="Q4" s="156"/>
      <c r="R4" s="156"/>
      <c r="S4" s="157"/>
      <c r="T4" s="129" t="s">
        <v>31</v>
      </c>
    </row>
    <row r="5" ht="25" customHeight="1" spans="1:20">
      <c r="A5" s="20">
        <f>A4+1</f>
        <v>3</v>
      </c>
      <c r="B5" s="130" t="s">
        <v>36</v>
      </c>
      <c r="C5" s="28">
        <v>118954</v>
      </c>
      <c r="D5" s="28" t="s">
        <v>37</v>
      </c>
      <c r="E5" s="28" t="s">
        <v>38</v>
      </c>
      <c r="F5" s="28" t="s">
        <v>39</v>
      </c>
      <c r="G5" s="69">
        <f>VLOOKUP(C:C,[1]考核价查询!$A$1:$E$65536,5,0)</f>
        <v>9.3</v>
      </c>
      <c r="H5" s="69">
        <v>21.9</v>
      </c>
      <c r="I5" s="142">
        <f>(H5-G5)/H5</f>
        <v>0.575342465753425</v>
      </c>
      <c r="J5" s="143" t="s">
        <v>29</v>
      </c>
      <c r="K5" s="142"/>
      <c r="L5" s="144" t="s">
        <v>40</v>
      </c>
      <c r="M5" s="145"/>
      <c r="N5" s="144"/>
      <c r="O5" s="69"/>
      <c r="P5" s="146">
        <v>53959</v>
      </c>
      <c r="Q5" s="146">
        <v>53959</v>
      </c>
      <c r="R5" s="71"/>
      <c r="S5" s="147"/>
      <c r="T5" s="69"/>
    </row>
    <row r="6" ht="48" customHeight="1" spans="1:20">
      <c r="A6" s="20">
        <f t="shared" ref="A5:A17" si="0">A5+1</f>
        <v>4</v>
      </c>
      <c r="B6" s="130"/>
      <c r="C6" s="28">
        <v>136714</v>
      </c>
      <c r="D6" s="28" t="s">
        <v>41</v>
      </c>
      <c r="E6" s="28" t="s">
        <v>42</v>
      </c>
      <c r="F6" s="28" t="s">
        <v>43</v>
      </c>
      <c r="G6" s="69">
        <f>VLOOKUP(C:C,[1]考核价查询!$A$1:$E$65536,5,0)</f>
        <v>14.8</v>
      </c>
      <c r="H6" s="69">
        <v>29.8</v>
      </c>
      <c r="I6" s="142">
        <f t="shared" ref="I6:I15" si="1">(H6-G6)/H6</f>
        <v>0.503355704697987</v>
      </c>
      <c r="J6" s="143" t="s">
        <v>44</v>
      </c>
      <c r="K6" s="142"/>
      <c r="L6" s="144" t="s">
        <v>40</v>
      </c>
      <c r="M6" s="145"/>
      <c r="N6" s="144"/>
      <c r="O6" s="69"/>
      <c r="P6" s="146">
        <v>96817</v>
      </c>
      <c r="Q6" s="146">
        <v>96817</v>
      </c>
      <c r="R6" s="71"/>
      <c r="S6" s="147"/>
      <c r="T6" s="69"/>
    </row>
    <row r="7" ht="25" customHeight="1" spans="1:20">
      <c r="A7" s="20">
        <f t="shared" si="0"/>
        <v>5</v>
      </c>
      <c r="B7" s="130"/>
      <c r="C7" s="69">
        <v>139379</v>
      </c>
      <c r="D7" s="69" t="s">
        <v>45</v>
      </c>
      <c r="E7" s="69" t="s">
        <v>46</v>
      </c>
      <c r="F7" s="69" t="s">
        <v>34</v>
      </c>
      <c r="G7" s="69">
        <f>VLOOKUP(C:C,[1]考核价查询!$A$1:$E$65536,5,0)</f>
        <v>8.4</v>
      </c>
      <c r="H7" s="69">
        <v>24</v>
      </c>
      <c r="I7" s="142">
        <f t="shared" si="1"/>
        <v>0.65</v>
      </c>
      <c r="J7" s="143" t="s">
        <v>29</v>
      </c>
      <c r="K7" s="142" t="s">
        <v>29</v>
      </c>
      <c r="L7" s="147">
        <v>0.05</v>
      </c>
      <c r="M7" s="145">
        <f>H7*L7</f>
        <v>1.2</v>
      </c>
      <c r="N7" s="144"/>
      <c r="O7" s="69"/>
      <c r="P7" s="146">
        <v>100485</v>
      </c>
      <c r="Q7" s="146">
        <v>100485</v>
      </c>
      <c r="R7" s="71"/>
      <c r="S7" s="147"/>
      <c r="T7" s="69"/>
    </row>
    <row r="8" ht="25" customHeight="1" spans="1:20">
      <c r="A8" s="20">
        <f t="shared" si="0"/>
        <v>6</v>
      </c>
      <c r="B8" s="130"/>
      <c r="C8" s="69">
        <v>113826</v>
      </c>
      <c r="D8" s="69" t="s">
        <v>47</v>
      </c>
      <c r="E8" s="69" t="s">
        <v>48</v>
      </c>
      <c r="F8" s="69" t="s">
        <v>49</v>
      </c>
      <c r="G8" s="69">
        <f>VLOOKUP(C:C,[1]考核价查询!$A$1:$E$65536,5,0)</f>
        <v>12</v>
      </c>
      <c r="H8" s="69">
        <v>22</v>
      </c>
      <c r="I8" s="142">
        <f t="shared" si="1"/>
        <v>0.454545454545455</v>
      </c>
      <c r="J8" s="143" t="s">
        <v>29</v>
      </c>
      <c r="K8" s="148">
        <v>3</v>
      </c>
      <c r="L8" s="147">
        <v>0.07</v>
      </c>
      <c r="M8" s="145">
        <f t="shared" ref="M5:M15" si="2">H8*L8</f>
        <v>1.54</v>
      </c>
      <c r="N8" s="144"/>
      <c r="O8" s="69"/>
      <c r="P8" s="146">
        <v>5616</v>
      </c>
      <c r="Q8" s="146">
        <v>5616</v>
      </c>
      <c r="R8" s="71"/>
      <c r="S8" s="147"/>
      <c r="T8" s="69"/>
    </row>
    <row r="9" ht="25" customHeight="1" spans="1:20">
      <c r="A9" s="20">
        <f t="shared" si="0"/>
        <v>7</v>
      </c>
      <c r="B9" s="131" t="s">
        <v>50</v>
      </c>
      <c r="C9" s="34">
        <v>162305</v>
      </c>
      <c r="D9" s="34" t="s">
        <v>51</v>
      </c>
      <c r="E9" s="34" t="s">
        <v>52</v>
      </c>
      <c r="F9" s="69" t="s">
        <v>53</v>
      </c>
      <c r="G9" s="69">
        <f>VLOOKUP(C:C,[1]考核价查询!$A$1:$E$65536,5,0)</f>
        <v>174.6</v>
      </c>
      <c r="H9" s="69">
        <v>388</v>
      </c>
      <c r="I9" s="142">
        <f t="shared" si="1"/>
        <v>0.55</v>
      </c>
      <c r="J9" s="143" t="s">
        <v>54</v>
      </c>
      <c r="K9" s="142"/>
      <c r="L9" s="149">
        <v>0.08</v>
      </c>
      <c r="M9" s="145">
        <f t="shared" si="2"/>
        <v>31.04</v>
      </c>
      <c r="N9" s="150"/>
      <c r="O9" s="69">
        <v>798</v>
      </c>
      <c r="P9" s="69"/>
      <c r="Q9" s="69">
        <v>798</v>
      </c>
      <c r="R9" s="69"/>
      <c r="S9" s="150"/>
      <c r="T9" s="69"/>
    </row>
    <row r="10" ht="25" customHeight="1" spans="1:20">
      <c r="A10" s="20">
        <f t="shared" si="0"/>
        <v>8</v>
      </c>
      <c r="B10" s="131"/>
      <c r="C10" s="34">
        <v>116987</v>
      </c>
      <c r="D10" s="34" t="s">
        <v>55</v>
      </c>
      <c r="E10" s="34" t="s">
        <v>56</v>
      </c>
      <c r="F10" s="69" t="s">
        <v>57</v>
      </c>
      <c r="G10" s="69">
        <f>VLOOKUP(C:C,[1]考核价查询!$A$1:$E$65536,5,0)</f>
        <v>71</v>
      </c>
      <c r="H10" s="69">
        <v>198</v>
      </c>
      <c r="I10" s="142">
        <f t="shared" si="1"/>
        <v>0.641414141414141</v>
      </c>
      <c r="J10" s="143" t="s">
        <v>58</v>
      </c>
      <c r="K10" s="142"/>
      <c r="L10" s="151">
        <v>0.05</v>
      </c>
      <c r="M10" s="145">
        <f t="shared" si="2"/>
        <v>9.9</v>
      </c>
      <c r="N10" s="136"/>
      <c r="O10" s="69">
        <v>71</v>
      </c>
      <c r="P10" s="69"/>
      <c r="Q10" s="69">
        <v>71</v>
      </c>
      <c r="R10" s="69"/>
      <c r="S10" s="136"/>
      <c r="T10" s="69"/>
    </row>
    <row r="11" ht="25" customHeight="1" spans="1:20">
      <c r="A11" s="20">
        <f t="shared" si="0"/>
        <v>9</v>
      </c>
      <c r="B11" s="132" t="s">
        <v>59</v>
      </c>
      <c r="C11" s="34">
        <v>164949</v>
      </c>
      <c r="D11" s="34" t="s">
        <v>60</v>
      </c>
      <c r="E11" s="35" t="s">
        <v>61</v>
      </c>
      <c r="F11" s="36" t="s">
        <v>49</v>
      </c>
      <c r="G11" s="69">
        <f>VLOOKUP(C:C,[1]考核价查询!$A$1:$E$65536,5,0)</f>
        <v>84</v>
      </c>
      <c r="H11" s="133">
        <v>180</v>
      </c>
      <c r="I11" s="142">
        <f t="shared" si="1"/>
        <v>0.533333333333333</v>
      </c>
      <c r="J11" s="143" t="s">
        <v>62</v>
      </c>
      <c r="K11" s="148">
        <v>5</v>
      </c>
      <c r="L11" s="151">
        <v>0.07</v>
      </c>
      <c r="M11" s="145">
        <f t="shared" si="2"/>
        <v>12.6</v>
      </c>
      <c r="N11" s="136" t="s">
        <v>63</v>
      </c>
      <c r="O11" s="133">
        <v>34449</v>
      </c>
      <c r="P11" s="133"/>
      <c r="Q11" s="133">
        <v>34449</v>
      </c>
      <c r="R11" s="158"/>
      <c r="S11" s="136"/>
      <c r="T11" s="69"/>
    </row>
    <row r="12" ht="25" customHeight="1" spans="1:20">
      <c r="A12" s="20">
        <f t="shared" si="0"/>
        <v>10</v>
      </c>
      <c r="B12" s="132"/>
      <c r="C12" s="34">
        <v>75138</v>
      </c>
      <c r="D12" s="34" t="s">
        <v>60</v>
      </c>
      <c r="E12" s="34" t="s">
        <v>64</v>
      </c>
      <c r="F12" s="36" t="s">
        <v>49</v>
      </c>
      <c r="G12" s="69">
        <f>VLOOKUP(C:C,[1]考核价查询!$A$1:$E$65536,5,0)</f>
        <v>60</v>
      </c>
      <c r="H12" s="134">
        <v>86</v>
      </c>
      <c r="I12" s="142">
        <f t="shared" si="1"/>
        <v>0.302325581395349</v>
      </c>
      <c r="J12" s="143" t="s">
        <v>65</v>
      </c>
      <c r="K12" s="148">
        <v>3</v>
      </c>
      <c r="L12" s="149">
        <v>0.07</v>
      </c>
      <c r="M12" s="145">
        <f t="shared" si="2"/>
        <v>6.02</v>
      </c>
      <c r="N12" s="136" t="s">
        <v>66</v>
      </c>
      <c r="O12" s="133"/>
      <c r="P12" s="133"/>
      <c r="Q12" s="133"/>
      <c r="R12" s="159"/>
      <c r="S12" s="136"/>
      <c r="T12" s="69"/>
    </row>
    <row r="13" ht="25" customHeight="1" spans="1:20">
      <c r="A13" s="20">
        <f t="shared" si="0"/>
        <v>11</v>
      </c>
      <c r="B13" s="132"/>
      <c r="C13" s="34">
        <v>84174</v>
      </c>
      <c r="D13" s="34" t="s">
        <v>67</v>
      </c>
      <c r="E13" s="34" t="s">
        <v>68</v>
      </c>
      <c r="F13" s="36" t="s">
        <v>34</v>
      </c>
      <c r="G13" s="69">
        <f>VLOOKUP(C:C,[1]考核价查询!$A$1:$E$65536,5,0)</f>
        <v>12.25</v>
      </c>
      <c r="H13" s="23">
        <v>35</v>
      </c>
      <c r="I13" s="142">
        <f t="shared" si="1"/>
        <v>0.65</v>
      </c>
      <c r="J13" s="143" t="s">
        <v>29</v>
      </c>
      <c r="K13" s="142" t="s">
        <v>29</v>
      </c>
      <c r="L13" s="151">
        <v>0.07</v>
      </c>
      <c r="M13" s="145">
        <f t="shared" si="2"/>
        <v>2.45</v>
      </c>
      <c r="N13" s="136"/>
      <c r="O13" s="134"/>
      <c r="P13" s="134">
        <v>64600</v>
      </c>
      <c r="Q13" s="134">
        <v>64600</v>
      </c>
      <c r="R13" s="134"/>
      <c r="S13" s="136"/>
      <c r="T13" s="69"/>
    </row>
    <row r="14" ht="25" customHeight="1" spans="1:20">
      <c r="A14" s="20">
        <f t="shared" si="0"/>
        <v>12</v>
      </c>
      <c r="B14" s="132"/>
      <c r="C14" s="34">
        <v>166880</v>
      </c>
      <c r="D14" s="34" t="s">
        <v>69</v>
      </c>
      <c r="E14" s="34" t="s">
        <v>70</v>
      </c>
      <c r="F14" s="24" t="s">
        <v>71</v>
      </c>
      <c r="G14" s="69">
        <f>VLOOKUP(C:C,[1]考核价查询!$A$1:$E$65536,5,0)</f>
        <v>89.1</v>
      </c>
      <c r="H14" s="24">
        <v>198</v>
      </c>
      <c r="I14" s="142">
        <f t="shared" si="1"/>
        <v>0.55</v>
      </c>
      <c r="J14" s="143" t="s">
        <v>72</v>
      </c>
      <c r="K14" s="148">
        <v>4</v>
      </c>
      <c r="L14" s="151">
        <v>0.07</v>
      </c>
      <c r="M14" s="145">
        <f t="shared" si="2"/>
        <v>13.86</v>
      </c>
      <c r="N14" s="152" t="s">
        <v>63</v>
      </c>
      <c r="O14" s="24">
        <v>29100</v>
      </c>
      <c r="P14" s="24"/>
      <c r="Q14" s="78">
        <v>36518</v>
      </c>
      <c r="R14" s="24">
        <f>Q14*1.5</f>
        <v>54777</v>
      </c>
      <c r="S14" s="136"/>
      <c r="T14" s="69"/>
    </row>
    <row r="15" ht="25" customHeight="1" spans="1:20">
      <c r="A15" s="20">
        <f t="shared" si="0"/>
        <v>13</v>
      </c>
      <c r="B15" s="132"/>
      <c r="C15" s="34">
        <v>21580</v>
      </c>
      <c r="D15" s="34" t="s">
        <v>73</v>
      </c>
      <c r="E15" s="34" t="s">
        <v>74</v>
      </c>
      <c r="F15" s="24" t="s">
        <v>27</v>
      </c>
      <c r="G15" s="69">
        <f>VLOOKUP(C:C,[1]考核价查询!$A$1:$E$65536,5,0)</f>
        <v>55.6</v>
      </c>
      <c r="H15" s="24">
        <v>98</v>
      </c>
      <c r="I15" s="142">
        <f t="shared" si="1"/>
        <v>0.43265306122449</v>
      </c>
      <c r="J15" s="143" t="s">
        <v>75</v>
      </c>
      <c r="K15" s="142" t="s">
        <v>29</v>
      </c>
      <c r="L15" s="151">
        <v>0.07</v>
      </c>
      <c r="M15" s="145">
        <f t="shared" si="2"/>
        <v>6.86</v>
      </c>
      <c r="N15" s="136"/>
      <c r="O15" s="24"/>
      <c r="P15" s="24">
        <v>20400</v>
      </c>
      <c r="Q15" s="24">
        <v>20400</v>
      </c>
      <c r="R15" s="24"/>
      <c r="S15" s="136"/>
      <c r="T15" s="69"/>
    </row>
  </sheetData>
  <mergeCells count="14">
    <mergeCell ref="L1:N1"/>
    <mergeCell ref="O1:P1"/>
    <mergeCell ref="Q1:R1"/>
    <mergeCell ref="B3:B4"/>
    <mergeCell ref="B5:B8"/>
    <mergeCell ref="B9:B10"/>
    <mergeCell ref="B11:B15"/>
    <mergeCell ref="O11:O12"/>
    <mergeCell ref="P11:P12"/>
    <mergeCell ref="Q3:Q4"/>
    <mergeCell ref="Q11:Q12"/>
    <mergeCell ref="R3:R4"/>
    <mergeCell ref="R11:R12"/>
    <mergeCell ref="S3:S4"/>
  </mergeCells>
  <pageMargins left="0.118055555555556" right="0.0777777777777778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105"/>
  <sheetViews>
    <sheetView topLeftCell="J83" workbookViewId="0">
      <selection activeCell="R103" sqref="R103:T103"/>
    </sheetView>
  </sheetViews>
  <sheetFormatPr defaultColWidth="9" defaultRowHeight="13.5"/>
  <cols>
    <col min="1" max="1" width="3.75" style="62" customWidth="1"/>
    <col min="2" max="2" width="6.75" style="62" customWidth="1"/>
    <col min="3" max="3" width="21.25" style="63" customWidth="1"/>
    <col min="4" max="4" width="3.625" style="62" customWidth="1"/>
    <col min="5" max="5" width="11" style="63" customWidth="1"/>
    <col min="6" max="6" width="18.75" style="7" customWidth="1"/>
    <col min="7" max="7" width="23" style="7" customWidth="1"/>
    <col min="8" max="8" width="16.25" style="7" customWidth="1"/>
    <col min="9" max="9" width="14.5" style="7" customWidth="1"/>
    <col min="10" max="10" width="9" style="7" customWidth="1"/>
    <col min="11" max="11" width="9" customWidth="1"/>
    <col min="12" max="12" width="15.625" style="7" customWidth="1"/>
    <col min="13" max="13" width="18.5" style="7" customWidth="1"/>
    <col min="14" max="14" width="15.25" style="7" customWidth="1"/>
    <col min="15" max="17" width="9" customWidth="1"/>
    <col min="18" max="18" width="11.25" style="10" customWidth="1"/>
    <col min="19" max="20" width="11.25" style="64" customWidth="1"/>
    <col min="21" max="21" width="10.375"/>
    <col min="22" max="22" width="11.5" customWidth="1"/>
    <col min="23" max="23" width="9.375" customWidth="1"/>
    <col min="24" max="24" width="9" customWidth="1"/>
    <col min="25" max="25" width="10.375" customWidth="1"/>
    <col min="26" max="26" width="11.625"/>
    <col min="27" max="27" width="11.5"/>
    <col min="28" max="28" width="11.625"/>
  </cols>
  <sheetData>
    <row r="1" ht="18.75" spans="1:23">
      <c r="A1" s="84" t="s">
        <v>76</v>
      </c>
      <c r="B1" s="84"/>
      <c r="C1" s="107"/>
      <c r="D1" s="84"/>
      <c r="E1" s="85"/>
      <c r="F1" s="8"/>
      <c r="G1" s="8"/>
      <c r="H1" s="8"/>
      <c r="I1" s="8"/>
      <c r="J1" s="8"/>
      <c r="K1" s="114"/>
      <c r="L1" s="8" t="s">
        <v>36</v>
      </c>
      <c r="M1" s="8"/>
      <c r="N1" s="8"/>
      <c r="O1" s="115" t="s">
        <v>50</v>
      </c>
      <c r="P1" s="115"/>
      <c r="Q1" s="115"/>
      <c r="R1" s="12" t="s">
        <v>50</v>
      </c>
      <c r="S1" s="12"/>
      <c r="T1" s="12"/>
      <c r="U1" s="1" t="s">
        <v>77</v>
      </c>
      <c r="V1" s="1"/>
      <c r="W1" s="1"/>
    </row>
    <row r="2" s="1" customFormat="1" ht="23" customHeight="1" spans="1:28">
      <c r="A2" s="88" t="s">
        <v>4</v>
      </c>
      <c r="B2" s="88" t="s">
        <v>78</v>
      </c>
      <c r="C2" s="108" t="s">
        <v>79</v>
      </c>
      <c r="D2" s="88" t="s">
        <v>80</v>
      </c>
      <c r="E2" s="88" t="s">
        <v>81</v>
      </c>
      <c r="F2" s="109" t="s">
        <v>82</v>
      </c>
      <c r="G2" s="109" t="s">
        <v>83</v>
      </c>
      <c r="H2" s="109" t="s">
        <v>83</v>
      </c>
      <c r="I2" s="8" t="s">
        <v>84</v>
      </c>
      <c r="J2" s="8" t="s">
        <v>85</v>
      </c>
      <c r="K2" s="115"/>
      <c r="L2" s="116" t="s">
        <v>20</v>
      </c>
      <c r="M2" s="8" t="s">
        <v>86</v>
      </c>
      <c r="N2" s="116" t="s">
        <v>21</v>
      </c>
      <c r="O2" s="115" t="s">
        <v>87</v>
      </c>
      <c r="P2" s="115" t="s">
        <v>88</v>
      </c>
      <c r="Q2" s="115"/>
      <c r="R2" s="117" t="s">
        <v>20</v>
      </c>
      <c r="S2" s="118" t="s">
        <v>21</v>
      </c>
      <c r="T2" s="119" t="s">
        <v>21</v>
      </c>
      <c r="U2" s="120" t="s">
        <v>20</v>
      </c>
      <c r="V2" s="121" t="s">
        <v>21</v>
      </c>
      <c r="W2" s="1" t="s">
        <v>89</v>
      </c>
      <c r="X2" s="1" t="s">
        <v>85</v>
      </c>
      <c r="Z2" s="121" t="s">
        <v>90</v>
      </c>
      <c r="AB2" s="120" t="s">
        <v>21</v>
      </c>
    </row>
    <row r="3" spans="1:28">
      <c r="A3" s="2">
        <v>1</v>
      </c>
      <c r="B3" s="2">
        <v>343</v>
      </c>
      <c r="C3" s="110" t="s">
        <v>91</v>
      </c>
      <c r="D3" s="2" t="s">
        <v>92</v>
      </c>
      <c r="E3" s="2" t="s">
        <v>93</v>
      </c>
      <c r="F3" s="8">
        <v>29</v>
      </c>
      <c r="G3" s="8">
        <f>F3*1.2</f>
        <v>34.8</v>
      </c>
      <c r="H3" s="8">
        <f>ROUND(G3,0)</f>
        <v>35</v>
      </c>
      <c r="I3" s="8">
        <v>35</v>
      </c>
      <c r="J3" s="8">
        <v>27</v>
      </c>
      <c r="K3" s="114">
        <v>3</v>
      </c>
      <c r="L3" s="8">
        <v>293</v>
      </c>
      <c r="M3" s="8">
        <f>L3*1.09</f>
        <v>319.37</v>
      </c>
      <c r="N3" s="8">
        <f>ROUND(M3,0)</f>
        <v>319</v>
      </c>
      <c r="O3" s="114">
        <f>VLOOKUP(B:B,[3]Sheet6!$G$1:$H$65536,2,0)</f>
        <v>23</v>
      </c>
      <c r="P3" s="114">
        <f>VLOOKUP(B:B,'10月'!B:S,18,0)</f>
        <v>13</v>
      </c>
      <c r="Q3" s="114">
        <f>P3-O3</f>
        <v>-10</v>
      </c>
      <c r="R3" s="12">
        <f>O3</f>
        <v>23</v>
      </c>
      <c r="S3" s="122">
        <f>R3*1.15</f>
        <v>26.45</v>
      </c>
      <c r="T3" s="122">
        <f>ROUND(S3,0)</f>
        <v>26</v>
      </c>
      <c r="U3">
        <v>20082.91</v>
      </c>
      <c r="V3">
        <f>U3*1.08-100</f>
        <v>21589.5428</v>
      </c>
      <c r="Z3">
        <f>ROUND(V3-500,2)</f>
        <v>21089.54</v>
      </c>
      <c r="AA3">
        <f>AB3-U3</f>
        <v>906.630000000001</v>
      </c>
      <c r="AB3">
        <f>Z3-100</f>
        <v>20989.54</v>
      </c>
    </row>
    <row r="4" spans="1:28">
      <c r="A4" s="2">
        <v>2</v>
      </c>
      <c r="B4" s="2">
        <v>581</v>
      </c>
      <c r="C4" s="110" t="s">
        <v>94</v>
      </c>
      <c r="D4" s="2" t="s">
        <v>95</v>
      </c>
      <c r="E4" s="2" t="s">
        <v>93</v>
      </c>
      <c r="F4" s="8">
        <v>26</v>
      </c>
      <c r="G4" s="8">
        <f t="shared" ref="G4:G13" si="0">F4*1.2</f>
        <v>31.2</v>
      </c>
      <c r="H4" s="8">
        <f t="shared" ref="H4:H35" si="1">ROUND(G4,0)</f>
        <v>31</v>
      </c>
      <c r="I4" s="8">
        <v>8</v>
      </c>
      <c r="J4" s="8">
        <v>27</v>
      </c>
      <c r="K4" s="114">
        <v>-1</v>
      </c>
      <c r="L4" s="8">
        <v>274</v>
      </c>
      <c r="M4" s="8">
        <f>L4*1.09</f>
        <v>298.66</v>
      </c>
      <c r="N4" s="8">
        <f t="shared" ref="N4:N35" si="2">ROUND(M4,0)</f>
        <v>299</v>
      </c>
      <c r="O4" s="114">
        <f>VLOOKUP(B:B,[3]Sheet6!$G$1:$H$65536,2,0)</f>
        <v>12</v>
      </c>
      <c r="P4" s="114">
        <f>VLOOKUP(B:B,'10月'!B:S,18,0)</f>
        <v>3</v>
      </c>
      <c r="Q4" s="114">
        <f t="shared" ref="Q4:Q35" si="3">P4-O4</f>
        <v>-9</v>
      </c>
      <c r="R4" s="12">
        <v>9</v>
      </c>
      <c r="S4" s="122">
        <f>R4*1.4</f>
        <v>12.6</v>
      </c>
      <c r="T4" s="122">
        <f t="shared" ref="T4:T35" si="4">ROUND(S4,0)</f>
        <v>13</v>
      </c>
      <c r="U4">
        <v>4440.59</v>
      </c>
      <c r="V4">
        <f>U4*1.3</f>
        <v>5772.767</v>
      </c>
      <c r="Z4">
        <f>ROUND(V4-500,2)</f>
        <v>5272.77</v>
      </c>
      <c r="AA4">
        <f t="shared" ref="AA4:AA35" si="5">AB4-U4</f>
        <v>732.18</v>
      </c>
      <c r="AB4">
        <f t="shared" ref="AB4:AB24" si="6">Z4-100</f>
        <v>5172.77</v>
      </c>
    </row>
    <row r="5" s="14" customFormat="1" spans="1:28">
      <c r="A5" s="2">
        <v>3</v>
      </c>
      <c r="B5" s="2">
        <v>582</v>
      </c>
      <c r="C5" s="110" t="s">
        <v>96</v>
      </c>
      <c r="D5" s="2" t="s">
        <v>92</v>
      </c>
      <c r="E5" s="2" t="s">
        <v>93</v>
      </c>
      <c r="F5" s="8">
        <v>30</v>
      </c>
      <c r="G5" s="8">
        <f t="shared" si="0"/>
        <v>36</v>
      </c>
      <c r="H5" s="8">
        <f t="shared" si="1"/>
        <v>36</v>
      </c>
      <c r="I5" s="8">
        <v>35</v>
      </c>
      <c r="J5" s="8">
        <v>27</v>
      </c>
      <c r="K5" s="114">
        <v>3</v>
      </c>
      <c r="L5" s="8">
        <v>97</v>
      </c>
      <c r="M5" s="91">
        <f>L5*1.3</f>
        <v>126.1</v>
      </c>
      <c r="N5" s="8">
        <f t="shared" si="2"/>
        <v>126</v>
      </c>
      <c r="O5" s="114">
        <f>VLOOKUP(B:B,[3]Sheet6!$G$1:$H$65536,2,0)</f>
        <v>19</v>
      </c>
      <c r="P5" s="114">
        <f>VLOOKUP(B:B,'10月'!B:S,18,0)</f>
        <v>21</v>
      </c>
      <c r="Q5" s="114">
        <f t="shared" si="3"/>
        <v>2</v>
      </c>
      <c r="R5" s="12">
        <v>21</v>
      </c>
      <c r="S5" s="122">
        <f>R5*1.15</f>
        <v>24.15</v>
      </c>
      <c r="T5" s="122">
        <f t="shared" si="4"/>
        <v>24</v>
      </c>
      <c r="U5">
        <v>8942.61</v>
      </c>
      <c r="V5">
        <f>U5*1.18</f>
        <v>10552.2798</v>
      </c>
      <c r="Z5">
        <f>ROUND(V5-500,2)</f>
        <v>10052.28</v>
      </c>
      <c r="AA5">
        <f t="shared" si="5"/>
        <v>1009.67</v>
      </c>
      <c r="AB5">
        <f t="shared" si="6"/>
        <v>9952.28</v>
      </c>
    </row>
    <row r="6" spans="1:28">
      <c r="A6" s="2">
        <v>4</v>
      </c>
      <c r="B6" s="2">
        <v>359</v>
      </c>
      <c r="C6" s="110" t="s">
        <v>97</v>
      </c>
      <c r="D6" s="2" t="s">
        <v>95</v>
      </c>
      <c r="E6" s="2" t="s">
        <v>93</v>
      </c>
      <c r="F6" s="8">
        <v>20</v>
      </c>
      <c r="G6" s="8">
        <f t="shared" si="0"/>
        <v>24</v>
      </c>
      <c r="H6" s="8">
        <f t="shared" si="1"/>
        <v>24</v>
      </c>
      <c r="I6" s="8">
        <v>4</v>
      </c>
      <c r="J6" s="8">
        <v>20</v>
      </c>
      <c r="K6" s="114">
        <v>0</v>
      </c>
      <c r="L6" s="8">
        <v>167</v>
      </c>
      <c r="M6" s="8">
        <f>L6*1.13</f>
        <v>188.71</v>
      </c>
      <c r="N6" s="8">
        <f t="shared" si="2"/>
        <v>189</v>
      </c>
      <c r="O6" s="114">
        <f>VLOOKUP(B:B,[3]Sheet6!$G$1:$H$65536,2,0)</f>
        <v>16</v>
      </c>
      <c r="P6" s="114">
        <f>VLOOKUP(B:B,'10月'!B:S,18,0)</f>
        <v>11</v>
      </c>
      <c r="Q6" s="114">
        <f t="shared" si="3"/>
        <v>-5</v>
      </c>
      <c r="R6" s="12">
        <f>O6</f>
        <v>16</v>
      </c>
      <c r="S6" s="122">
        <f>R6*1.2</f>
        <v>19.2</v>
      </c>
      <c r="T6" s="122">
        <f t="shared" si="4"/>
        <v>19</v>
      </c>
      <c r="U6">
        <v>1878.01</v>
      </c>
      <c r="V6">
        <f>U6*1.5</f>
        <v>2817.015</v>
      </c>
      <c r="Z6">
        <f t="shared" ref="Z4:Z35" si="7">ROUND(V6-300,2)</f>
        <v>2517.02</v>
      </c>
      <c r="AA6">
        <f t="shared" si="5"/>
        <v>539.01</v>
      </c>
      <c r="AB6">
        <f t="shared" si="6"/>
        <v>2417.02</v>
      </c>
    </row>
    <row r="7" spans="1:28">
      <c r="A7" s="2">
        <v>5</v>
      </c>
      <c r="B7" s="2">
        <v>726</v>
      </c>
      <c r="C7" s="110" t="s">
        <v>98</v>
      </c>
      <c r="D7" s="2" t="s">
        <v>95</v>
      </c>
      <c r="E7" s="2" t="s">
        <v>93</v>
      </c>
      <c r="F7" s="8">
        <v>27</v>
      </c>
      <c r="G7" s="8">
        <f t="shared" si="0"/>
        <v>32.4</v>
      </c>
      <c r="H7" s="8">
        <f t="shared" si="1"/>
        <v>32</v>
      </c>
      <c r="I7" s="8">
        <v>27</v>
      </c>
      <c r="J7" s="8">
        <v>27</v>
      </c>
      <c r="K7" s="114">
        <v>0</v>
      </c>
      <c r="L7" s="8">
        <v>181</v>
      </c>
      <c r="M7" s="8">
        <f>L7*1.13</f>
        <v>204.53</v>
      </c>
      <c r="N7" s="8">
        <f t="shared" si="2"/>
        <v>205</v>
      </c>
      <c r="O7" s="114">
        <f>VLOOKUP(B:B,[3]Sheet6!$G$1:$H$65536,2,0)</f>
        <v>10</v>
      </c>
      <c r="P7" s="114">
        <f>VLOOKUP(B:B,'10月'!B:S,18,0)</f>
        <v>8</v>
      </c>
      <c r="Q7" s="114">
        <f t="shared" si="3"/>
        <v>-2</v>
      </c>
      <c r="R7" s="12">
        <f>O7</f>
        <v>10</v>
      </c>
      <c r="S7" s="122">
        <f>R7*1.4</f>
        <v>14</v>
      </c>
      <c r="T7" s="122">
        <f t="shared" si="4"/>
        <v>14</v>
      </c>
      <c r="U7">
        <v>9319.51</v>
      </c>
      <c r="V7">
        <f>U7*1.18</f>
        <v>10997.0218</v>
      </c>
      <c r="Z7">
        <f>ROUND(V7-500,2)</f>
        <v>10497.02</v>
      </c>
      <c r="AA7">
        <f t="shared" si="5"/>
        <v>1077.51</v>
      </c>
      <c r="AB7">
        <f t="shared" si="6"/>
        <v>10397.02</v>
      </c>
    </row>
    <row r="8" spans="1:28">
      <c r="A8" s="2">
        <v>6</v>
      </c>
      <c r="B8" s="2">
        <v>365</v>
      </c>
      <c r="C8" s="110" t="s">
        <v>99</v>
      </c>
      <c r="D8" s="2" t="s">
        <v>95</v>
      </c>
      <c r="E8" s="2" t="s">
        <v>93</v>
      </c>
      <c r="F8" s="8">
        <v>26</v>
      </c>
      <c r="G8" s="8">
        <f t="shared" si="0"/>
        <v>31.2</v>
      </c>
      <c r="H8" s="8">
        <f t="shared" si="1"/>
        <v>31</v>
      </c>
      <c r="I8" s="8">
        <v>7</v>
      </c>
      <c r="J8" s="8">
        <v>27</v>
      </c>
      <c r="K8" s="114">
        <v>-1</v>
      </c>
      <c r="L8" s="8">
        <v>148</v>
      </c>
      <c r="M8" s="8">
        <f>L8*1.18</f>
        <v>174.64</v>
      </c>
      <c r="N8" s="8">
        <f t="shared" si="2"/>
        <v>175</v>
      </c>
      <c r="O8" s="114">
        <f>VLOOKUP(B:B,[3]Sheet6!$G$1:$H$65536,2,0)</f>
        <v>20</v>
      </c>
      <c r="P8" s="114">
        <f>VLOOKUP(B:B,'10月'!B:S,18,0)</f>
        <v>23</v>
      </c>
      <c r="Q8" s="114">
        <f t="shared" si="3"/>
        <v>3</v>
      </c>
      <c r="R8" s="12">
        <v>23</v>
      </c>
      <c r="S8" s="122">
        <f>R8*1.15</f>
        <v>26.45</v>
      </c>
      <c r="T8" s="122">
        <f t="shared" si="4"/>
        <v>26</v>
      </c>
      <c r="U8">
        <v>1323.52</v>
      </c>
      <c r="V8">
        <f>U8*1.5</f>
        <v>1985.28</v>
      </c>
      <c r="Z8">
        <f t="shared" si="7"/>
        <v>1685.28</v>
      </c>
      <c r="AA8">
        <f t="shared" si="5"/>
        <v>261.76</v>
      </c>
      <c r="AB8">
        <f t="shared" si="6"/>
        <v>1585.28</v>
      </c>
    </row>
    <row r="9" spans="1:28">
      <c r="A9" s="2">
        <v>7</v>
      </c>
      <c r="B9" s="2">
        <v>513</v>
      </c>
      <c r="C9" s="110" t="s">
        <v>100</v>
      </c>
      <c r="D9" s="2" t="s">
        <v>95</v>
      </c>
      <c r="E9" s="2" t="s">
        <v>93</v>
      </c>
      <c r="F9" s="8">
        <v>20</v>
      </c>
      <c r="G9" s="8">
        <f t="shared" si="0"/>
        <v>24</v>
      </c>
      <c r="H9" s="8">
        <f t="shared" si="1"/>
        <v>24</v>
      </c>
      <c r="I9" s="8">
        <v>9</v>
      </c>
      <c r="J9" s="8">
        <v>20</v>
      </c>
      <c r="K9" s="114">
        <v>0</v>
      </c>
      <c r="L9" s="8">
        <v>161</v>
      </c>
      <c r="M9" s="8">
        <f>L9*1.13</f>
        <v>181.93</v>
      </c>
      <c r="N9" s="8">
        <f t="shared" si="2"/>
        <v>182</v>
      </c>
      <c r="O9" s="114">
        <f>VLOOKUP(B:B,[3]Sheet6!$G$1:$H$65536,2,0)</f>
        <v>5</v>
      </c>
      <c r="P9" s="114">
        <f>VLOOKUP(B:B,'10月'!B:S,18,0)</f>
        <v>2</v>
      </c>
      <c r="Q9" s="114">
        <f t="shared" si="3"/>
        <v>-3</v>
      </c>
      <c r="R9" s="12">
        <f>O9</f>
        <v>5</v>
      </c>
      <c r="S9" s="122">
        <f>R9*1.4</f>
        <v>7</v>
      </c>
      <c r="T9" s="122">
        <f t="shared" si="4"/>
        <v>7</v>
      </c>
      <c r="U9">
        <v>3716.99</v>
      </c>
      <c r="V9">
        <f>U9*1.3</f>
        <v>4832.087</v>
      </c>
      <c r="Z9">
        <f>ROUND(V9-400,2)</f>
        <v>4432.09</v>
      </c>
      <c r="AA9">
        <f t="shared" si="5"/>
        <v>615.1</v>
      </c>
      <c r="AB9">
        <f t="shared" si="6"/>
        <v>4332.09</v>
      </c>
    </row>
    <row r="10" spans="1:28">
      <c r="A10" s="2">
        <v>8</v>
      </c>
      <c r="B10" s="2">
        <v>730</v>
      </c>
      <c r="C10" s="110" t="s">
        <v>101</v>
      </c>
      <c r="D10" s="2" t="s">
        <v>95</v>
      </c>
      <c r="E10" s="2" t="s">
        <v>93</v>
      </c>
      <c r="F10" s="8">
        <v>27</v>
      </c>
      <c r="G10" s="8">
        <f t="shared" si="0"/>
        <v>32.4</v>
      </c>
      <c r="H10" s="8">
        <f t="shared" si="1"/>
        <v>32</v>
      </c>
      <c r="I10" s="8">
        <v>1</v>
      </c>
      <c r="J10" s="8">
        <v>27</v>
      </c>
      <c r="K10" s="114">
        <v>0</v>
      </c>
      <c r="L10" s="8">
        <v>108</v>
      </c>
      <c r="M10" s="8">
        <f>L10*1.18</f>
        <v>127.44</v>
      </c>
      <c r="N10" s="8">
        <f t="shared" si="2"/>
        <v>127</v>
      </c>
      <c r="O10" s="114">
        <f>VLOOKUP(B:B,[3]Sheet6!$G$1:$H$65536,2,0)</f>
        <v>8</v>
      </c>
      <c r="P10" s="114">
        <f>VLOOKUP(B:B,'10月'!B:S,18,0)</f>
        <v>5</v>
      </c>
      <c r="Q10" s="114">
        <f t="shared" si="3"/>
        <v>-3</v>
      </c>
      <c r="R10" s="12">
        <v>7</v>
      </c>
      <c r="S10" s="122">
        <f>R10*1.4</f>
        <v>9.8</v>
      </c>
      <c r="T10" s="122">
        <f t="shared" si="4"/>
        <v>10</v>
      </c>
      <c r="U10">
        <v>7934.11</v>
      </c>
      <c r="V10">
        <f>U10*1.2</f>
        <v>9520.932</v>
      </c>
      <c r="Z10">
        <f>ROUND(V10-500,2)</f>
        <v>9020.93</v>
      </c>
      <c r="AA10">
        <f t="shared" si="5"/>
        <v>986.820000000001</v>
      </c>
      <c r="AB10">
        <f t="shared" si="6"/>
        <v>8920.93</v>
      </c>
    </row>
    <row r="11" spans="1:28">
      <c r="A11" s="2">
        <v>9</v>
      </c>
      <c r="B11" s="2">
        <v>585</v>
      </c>
      <c r="C11" s="110" t="s">
        <v>102</v>
      </c>
      <c r="D11" s="2" t="s">
        <v>95</v>
      </c>
      <c r="E11" s="2" t="s">
        <v>93</v>
      </c>
      <c r="F11" s="8">
        <v>25</v>
      </c>
      <c r="G11" s="8">
        <f t="shared" si="0"/>
        <v>30</v>
      </c>
      <c r="H11" s="8">
        <f t="shared" si="1"/>
        <v>30</v>
      </c>
      <c r="I11" s="8">
        <v>21</v>
      </c>
      <c r="J11" s="8">
        <v>27</v>
      </c>
      <c r="K11" s="114">
        <v>-2</v>
      </c>
      <c r="L11" s="8">
        <v>194</v>
      </c>
      <c r="M11" s="8">
        <f>L11*1.13</f>
        <v>219.22</v>
      </c>
      <c r="N11" s="8">
        <f t="shared" si="2"/>
        <v>219</v>
      </c>
      <c r="O11" s="114">
        <f>VLOOKUP(B:B,[3]Sheet6!$G$1:$H$65536,2,0)</f>
        <v>26</v>
      </c>
      <c r="P11" s="114">
        <f>VLOOKUP(B:B,'10月'!B:S,18,0)</f>
        <v>12</v>
      </c>
      <c r="Q11" s="114">
        <f t="shared" si="3"/>
        <v>-14</v>
      </c>
      <c r="R11" s="12">
        <f>O11</f>
        <v>26</v>
      </c>
      <c r="S11" s="122">
        <f>R11*1.15</f>
        <v>29.9</v>
      </c>
      <c r="T11" s="122">
        <f t="shared" si="4"/>
        <v>30</v>
      </c>
      <c r="U11">
        <v>4639.03</v>
      </c>
      <c r="V11">
        <f>U11*1.3</f>
        <v>6030.739</v>
      </c>
      <c r="Z11">
        <f>ROUND(V11-500,2)</f>
        <v>5530.74</v>
      </c>
      <c r="AA11">
        <f t="shared" si="5"/>
        <v>791.71</v>
      </c>
      <c r="AB11">
        <f t="shared" si="6"/>
        <v>5430.74</v>
      </c>
    </row>
    <row r="12" spans="1:28">
      <c r="A12" s="2">
        <v>10</v>
      </c>
      <c r="B12" s="2">
        <v>709</v>
      </c>
      <c r="C12" s="110" t="s">
        <v>103</v>
      </c>
      <c r="D12" s="2" t="s">
        <v>104</v>
      </c>
      <c r="E12" s="2" t="s">
        <v>93</v>
      </c>
      <c r="F12" s="8">
        <v>22</v>
      </c>
      <c r="G12" s="8">
        <f t="shared" si="0"/>
        <v>26.4</v>
      </c>
      <c r="H12" s="8">
        <f t="shared" si="1"/>
        <v>26</v>
      </c>
      <c r="I12" s="8">
        <v>32</v>
      </c>
      <c r="J12" s="8">
        <v>17</v>
      </c>
      <c r="K12" s="114">
        <v>5</v>
      </c>
      <c r="L12" s="8">
        <v>101</v>
      </c>
      <c r="M12" s="8">
        <f>L12*1.18</f>
        <v>119.18</v>
      </c>
      <c r="N12" s="8">
        <f t="shared" si="2"/>
        <v>119</v>
      </c>
      <c r="O12" s="114">
        <f>VLOOKUP(B:B,[3]Sheet6!$G$1:$H$65536,2,0)</f>
        <v>17</v>
      </c>
      <c r="P12" s="114">
        <f>VLOOKUP(B:B,'10月'!B:S,18,0)</f>
        <v>18</v>
      </c>
      <c r="Q12" s="114">
        <f t="shared" si="3"/>
        <v>1</v>
      </c>
      <c r="R12" s="12">
        <v>18</v>
      </c>
      <c r="S12" s="122">
        <f>R12*1.2</f>
        <v>21.6</v>
      </c>
      <c r="T12" s="122">
        <f t="shared" si="4"/>
        <v>22</v>
      </c>
      <c r="U12">
        <v>3911.47</v>
      </c>
      <c r="V12">
        <f>U12*1.3</f>
        <v>5084.911</v>
      </c>
      <c r="Z12">
        <f>ROUND(V12-400,2)</f>
        <v>4684.91</v>
      </c>
      <c r="AA12">
        <f t="shared" si="5"/>
        <v>673.44</v>
      </c>
      <c r="AB12">
        <f t="shared" si="6"/>
        <v>4584.91</v>
      </c>
    </row>
    <row r="13" spans="1:28">
      <c r="A13" s="2">
        <v>11</v>
      </c>
      <c r="B13" s="2">
        <v>379</v>
      </c>
      <c r="C13" s="110" t="s">
        <v>105</v>
      </c>
      <c r="D13" s="2" t="s">
        <v>104</v>
      </c>
      <c r="E13" s="2" t="s">
        <v>93</v>
      </c>
      <c r="F13" s="8">
        <v>21</v>
      </c>
      <c r="G13" s="8">
        <f t="shared" si="0"/>
        <v>25.2</v>
      </c>
      <c r="H13" s="8">
        <f t="shared" si="1"/>
        <v>25</v>
      </c>
      <c r="I13" s="8">
        <v>21</v>
      </c>
      <c r="J13" s="8">
        <v>17</v>
      </c>
      <c r="K13" s="114">
        <v>4</v>
      </c>
      <c r="L13" s="8">
        <v>100</v>
      </c>
      <c r="M13" s="8">
        <f>L13*1.18</f>
        <v>118</v>
      </c>
      <c r="N13" s="8">
        <f t="shared" si="2"/>
        <v>118</v>
      </c>
      <c r="O13" s="114">
        <f>VLOOKUP(B:B,[3]Sheet6!$G$1:$H$65536,2,0)</f>
        <v>12</v>
      </c>
      <c r="P13" s="114">
        <f>VLOOKUP(B:B,'10月'!B:S,18,0)</f>
        <v>6</v>
      </c>
      <c r="Q13" s="114">
        <f t="shared" si="3"/>
        <v>-6</v>
      </c>
      <c r="R13" s="12">
        <f>O13</f>
        <v>12</v>
      </c>
      <c r="S13" s="122">
        <f>R13*1.2</f>
        <v>14.4</v>
      </c>
      <c r="T13" s="122">
        <f t="shared" si="4"/>
        <v>14</v>
      </c>
      <c r="U13">
        <v>4195.33</v>
      </c>
      <c r="V13">
        <f>U13*1.3</f>
        <v>5453.929</v>
      </c>
      <c r="Z13">
        <f>ROUND(V13-500,2)</f>
        <v>4953.93</v>
      </c>
      <c r="AA13">
        <f t="shared" si="5"/>
        <v>658.6</v>
      </c>
      <c r="AB13">
        <f t="shared" si="6"/>
        <v>4853.93</v>
      </c>
    </row>
    <row r="14" spans="1:28">
      <c r="A14" s="2">
        <v>12</v>
      </c>
      <c r="B14" s="2">
        <v>745</v>
      </c>
      <c r="C14" s="110" t="s">
        <v>106</v>
      </c>
      <c r="D14" s="2" t="s">
        <v>107</v>
      </c>
      <c r="E14" s="2" t="s">
        <v>93</v>
      </c>
      <c r="F14" s="8">
        <v>12</v>
      </c>
      <c r="G14" s="8">
        <f>F14*1.3</f>
        <v>15.6</v>
      </c>
      <c r="H14" s="8">
        <f t="shared" si="1"/>
        <v>16</v>
      </c>
      <c r="I14" s="8">
        <v>2</v>
      </c>
      <c r="J14" s="8">
        <v>17</v>
      </c>
      <c r="K14" s="114">
        <v>-5</v>
      </c>
      <c r="L14" s="8">
        <v>108</v>
      </c>
      <c r="M14" s="8">
        <f>L14*1.18</f>
        <v>127.44</v>
      </c>
      <c r="N14" s="8">
        <f t="shared" si="2"/>
        <v>127</v>
      </c>
      <c r="O14" s="114">
        <f>VLOOKUP(B:B,[3]Sheet6!$G$1:$H$65536,2,0)</f>
        <v>16</v>
      </c>
      <c r="P14" s="114">
        <f>VLOOKUP(B:B,'10月'!B:S,18,0)</f>
        <v>2</v>
      </c>
      <c r="Q14" s="114">
        <f t="shared" si="3"/>
        <v>-14</v>
      </c>
      <c r="R14" s="12">
        <f>O14</f>
        <v>16</v>
      </c>
      <c r="S14" s="122">
        <f>R14*1.2</f>
        <v>19.2</v>
      </c>
      <c r="T14" s="122">
        <f t="shared" si="4"/>
        <v>19</v>
      </c>
      <c r="U14">
        <v>1461.82</v>
      </c>
      <c r="V14">
        <f>U14*1.5</f>
        <v>2192.73</v>
      </c>
      <c r="Z14">
        <f t="shared" si="7"/>
        <v>1892.73</v>
      </c>
      <c r="AA14">
        <f t="shared" si="5"/>
        <v>330.91</v>
      </c>
      <c r="AB14">
        <f t="shared" si="6"/>
        <v>1792.73</v>
      </c>
    </row>
    <row r="15" spans="1:28">
      <c r="A15" s="2">
        <v>13</v>
      </c>
      <c r="B15" s="2">
        <v>347</v>
      </c>
      <c r="C15" s="110" t="s">
        <v>108</v>
      </c>
      <c r="D15" s="2" t="s">
        <v>109</v>
      </c>
      <c r="E15" s="2" t="s">
        <v>93</v>
      </c>
      <c r="F15" s="8">
        <v>12</v>
      </c>
      <c r="G15" s="8">
        <f>F15*1.3</f>
        <v>15.6</v>
      </c>
      <c r="H15" s="8">
        <f t="shared" si="1"/>
        <v>16</v>
      </c>
      <c r="I15" s="8">
        <v>3</v>
      </c>
      <c r="J15" s="8">
        <v>17</v>
      </c>
      <c r="K15" s="114">
        <v>-5</v>
      </c>
      <c r="L15" s="8">
        <v>108</v>
      </c>
      <c r="M15" s="8">
        <f>L15*1.18</f>
        <v>127.44</v>
      </c>
      <c r="N15" s="8">
        <f t="shared" si="2"/>
        <v>127</v>
      </c>
      <c r="O15" s="114">
        <f>VLOOKUP(B:B,[3]Sheet6!$G$1:$H$65536,2,0)</f>
        <v>14</v>
      </c>
      <c r="P15" s="114">
        <f>VLOOKUP(B:B,'10月'!B:S,18,0)</f>
        <v>7</v>
      </c>
      <c r="Q15" s="114">
        <f t="shared" si="3"/>
        <v>-7</v>
      </c>
      <c r="R15" s="12">
        <f>O15</f>
        <v>14</v>
      </c>
      <c r="S15" s="122">
        <f t="shared" ref="S15:S20" si="8">R15*1.2</f>
        <v>16.8</v>
      </c>
      <c r="T15" s="122">
        <f t="shared" si="4"/>
        <v>17</v>
      </c>
      <c r="U15">
        <v>3541.53</v>
      </c>
      <c r="V15">
        <f>U15*1.3</f>
        <v>4603.989</v>
      </c>
      <c r="Z15">
        <f t="shared" si="7"/>
        <v>4303.99</v>
      </c>
      <c r="AA15">
        <f t="shared" si="5"/>
        <v>662.46</v>
      </c>
      <c r="AB15">
        <f t="shared" si="6"/>
        <v>4203.99</v>
      </c>
    </row>
    <row r="16" spans="1:28">
      <c r="A16" s="2">
        <v>14</v>
      </c>
      <c r="B16" s="2">
        <v>727</v>
      </c>
      <c r="C16" s="110" t="s">
        <v>110</v>
      </c>
      <c r="D16" s="2" t="s">
        <v>107</v>
      </c>
      <c r="E16" s="2" t="s">
        <v>93</v>
      </c>
      <c r="F16" s="8">
        <v>4</v>
      </c>
      <c r="G16" s="8">
        <f>F16*1.4</f>
        <v>5.6</v>
      </c>
      <c r="H16" s="8">
        <f t="shared" si="1"/>
        <v>6</v>
      </c>
      <c r="I16" s="8">
        <v>3</v>
      </c>
      <c r="J16" s="8">
        <v>6</v>
      </c>
      <c r="K16" s="114">
        <v>-2</v>
      </c>
      <c r="L16" s="8">
        <v>72</v>
      </c>
      <c r="M16" s="91">
        <f t="shared" ref="M16:M25" si="9">L16*1.3</f>
        <v>93.6</v>
      </c>
      <c r="N16" s="8">
        <f t="shared" si="2"/>
        <v>94</v>
      </c>
      <c r="O16" s="114">
        <f>VLOOKUP(B:B,[3]Sheet6!$G$1:$H$65536,2,0)</f>
        <v>4</v>
      </c>
      <c r="P16" s="114">
        <f>VLOOKUP(B:B,'10月'!B:S,18,0)</f>
        <v>4</v>
      </c>
      <c r="Q16" s="114">
        <f t="shared" si="3"/>
        <v>0</v>
      </c>
      <c r="R16" s="12">
        <v>4</v>
      </c>
      <c r="S16" s="122">
        <f>R16*1.4</f>
        <v>5.6</v>
      </c>
      <c r="T16" s="122">
        <f t="shared" si="4"/>
        <v>6</v>
      </c>
      <c r="U16">
        <v>3739.56</v>
      </c>
      <c r="V16">
        <f>U16*1.3</f>
        <v>4861.428</v>
      </c>
      <c r="Z16">
        <f>ROUND(V16-400,2)</f>
        <v>4461.43</v>
      </c>
      <c r="AA16">
        <f t="shared" si="5"/>
        <v>621.87</v>
      </c>
      <c r="AB16">
        <f t="shared" si="6"/>
        <v>4361.43</v>
      </c>
    </row>
    <row r="17" spans="1:28">
      <c r="A17" s="2">
        <v>15</v>
      </c>
      <c r="B17" s="2">
        <v>339</v>
      </c>
      <c r="C17" s="110" t="s">
        <v>111</v>
      </c>
      <c r="D17" s="2" t="s">
        <v>109</v>
      </c>
      <c r="E17" s="2" t="s">
        <v>93</v>
      </c>
      <c r="F17" s="8">
        <v>17</v>
      </c>
      <c r="G17" s="8">
        <f>F17*1.3</f>
        <v>22.1</v>
      </c>
      <c r="H17" s="8">
        <f t="shared" si="1"/>
        <v>22</v>
      </c>
      <c r="I17" s="8">
        <v>15</v>
      </c>
      <c r="J17" s="8">
        <v>17</v>
      </c>
      <c r="K17" s="114">
        <v>0</v>
      </c>
      <c r="L17" s="8">
        <v>76</v>
      </c>
      <c r="M17" s="91">
        <f t="shared" si="9"/>
        <v>98.8</v>
      </c>
      <c r="N17" s="8">
        <f t="shared" si="2"/>
        <v>99</v>
      </c>
      <c r="O17" s="114">
        <f>VLOOKUP(B:B,[3]Sheet6!$G$1:$H$65536,2,0)</f>
        <v>11</v>
      </c>
      <c r="P17" s="114">
        <f>VLOOKUP(B:B,'10月'!B:S,18,0)</f>
        <v>8</v>
      </c>
      <c r="Q17" s="114">
        <f t="shared" si="3"/>
        <v>-3</v>
      </c>
      <c r="R17" s="12">
        <f>O17</f>
        <v>11</v>
      </c>
      <c r="S17" s="122">
        <f t="shared" si="8"/>
        <v>13.2</v>
      </c>
      <c r="T17" s="122">
        <f t="shared" si="4"/>
        <v>13</v>
      </c>
      <c r="U17">
        <v>4125.83</v>
      </c>
      <c r="V17">
        <f>U17*1.3</f>
        <v>5363.579</v>
      </c>
      <c r="Z17">
        <f>ROUND(V17-500,2)</f>
        <v>4863.58</v>
      </c>
      <c r="AA17">
        <f t="shared" si="5"/>
        <v>637.75</v>
      </c>
      <c r="AB17">
        <f t="shared" si="6"/>
        <v>4763.58</v>
      </c>
    </row>
    <row r="18" spans="1:28">
      <c r="A18" s="2">
        <v>16</v>
      </c>
      <c r="B18" s="90">
        <v>752</v>
      </c>
      <c r="C18" s="111" t="s">
        <v>112</v>
      </c>
      <c r="D18" s="90" t="s">
        <v>113</v>
      </c>
      <c r="E18" s="90" t="s">
        <v>93</v>
      </c>
      <c r="F18" s="8">
        <v>4</v>
      </c>
      <c r="G18" s="8">
        <f>F18*1.4</f>
        <v>5.6</v>
      </c>
      <c r="H18" s="8">
        <f t="shared" si="1"/>
        <v>6</v>
      </c>
      <c r="I18" s="8" t="e">
        <v>#N/A</v>
      </c>
      <c r="J18" s="8">
        <v>6</v>
      </c>
      <c r="K18" s="114">
        <v>-2</v>
      </c>
      <c r="L18" s="8">
        <v>40</v>
      </c>
      <c r="M18" s="91">
        <f t="shared" si="9"/>
        <v>52</v>
      </c>
      <c r="N18" s="8">
        <f t="shared" si="2"/>
        <v>52</v>
      </c>
      <c r="O18" s="114">
        <f>VLOOKUP(B:B,[3]Sheet6!$G$1:$H$65536,2,0)</f>
        <v>9</v>
      </c>
      <c r="P18" s="114">
        <f>VLOOKUP(B:B,'10月'!B:S,18,0)</f>
        <v>5</v>
      </c>
      <c r="Q18" s="114">
        <f t="shared" si="3"/>
        <v>-4</v>
      </c>
      <c r="R18" s="12">
        <f>O18</f>
        <v>9</v>
      </c>
      <c r="S18" s="122">
        <f>R18*1.4</f>
        <v>12.6</v>
      </c>
      <c r="T18" s="122">
        <f t="shared" si="4"/>
        <v>13</v>
      </c>
      <c r="U18">
        <v>1870.36</v>
      </c>
      <c r="V18">
        <f>U18*1.5</f>
        <v>2805.54</v>
      </c>
      <c r="W18">
        <f>VLOOKUP(B:B,[3]Sheet10!$G$1:$H$65536,2,0)</f>
        <v>1870.13</v>
      </c>
      <c r="X18">
        <f>VLOOKUP(B:B,'10月'!B:AB,27,0)</f>
        <v>1174.85</v>
      </c>
      <c r="Y18">
        <f>X18-W18</f>
        <v>-695.28</v>
      </c>
      <c r="Z18">
        <f t="shared" si="7"/>
        <v>2505.54</v>
      </c>
      <c r="AA18">
        <f t="shared" si="5"/>
        <v>535.18</v>
      </c>
      <c r="AB18">
        <f t="shared" si="6"/>
        <v>2405.54</v>
      </c>
    </row>
    <row r="19" spans="1:28">
      <c r="A19" s="2">
        <v>17</v>
      </c>
      <c r="B19" s="2">
        <v>741</v>
      </c>
      <c r="C19" s="110" t="s">
        <v>114</v>
      </c>
      <c r="D19" s="2" t="s">
        <v>113</v>
      </c>
      <c r="E19" s="2" t="s">
        <v>93</v>
      </c>
      <c r="F19" s="8">
        <v>10</v>
      </c>
      <c r="G19" s="8">
        <f>F19*1.3</f>
        <v>13</v>
      </c>
      <c r="H19" s="8">
        <f t="shared" si="1"/>
        <v>13</v>
      </c>
      <c r="I19" s="8">
        <v>10</v>
      </c>
      <c r="J19" s="8">
        <v>6</v>
      </c>
      <c r="K19" s="114">
        <v>4</v>
      </c>
      <c r="L19" s="8">
        <v>81</v>
      </c>
      <c r="M19" s="91">
        <f t="shared" si="9"/>
        <v>105.3</v>
      </c>
      <c r="N19" s="8">
        <f t="shared" si="2"/>
        <v>105</v>
      </c>
      <c r="O19" s="114" t="e">
        <f>VLOOKUP(B:B,[3]Sheet6!$G$1:$H$65536,2,0)</f>
        <v>#N/A</v>
      </c>
      <c r="P19" s="114">
        <f>VLOOKUP(B:B,'10月'!B:S,18,0)</f>
        <v>4</v>
      </c>
      <c r="Q19" s="114" t="e">
        <f t="shared" si="3"/>
        <v>#N/A</v>
      </c>
      <c r="R19" s="12">
        <v>4</v>
      </c>
      <c r="S19" s="122">
        <f>R19*1.4</f>
        <v>5.6</v>
      </c>
      <c r="T19" s="122">
        <f t="shared" si="4"/>
        <v>6</v>
      </c>
      <c r="U19">
        <v>2536</v>
      </c>
      <c r="V19">
        <f>U19*1.4</f>
        <v>3550.4</v>
      </c>
      <c r="Z19">
        <f t="shared" si="7"/>
        <v>3250.4</v>
      </c>
      <c r="AA19">
        <f t="shared" si="5"/>
        <v>614.4</v>
      </c>
      <c r="AB19">
        <f t="shared" si="6"/>
        <v>3150.4</v>
      </c>
    </row>
    <row r="20" spans="1:28">
      <c r="A20" s="2">
        <v>18</v>
      </c>
      <c r="B20" s="2">
        <v>357</v>
      </c>
      <c r="C20" s="110" t="s">
        <v>115</v>
      </c>
      <c r="D20" s="2" t="s">
        <v>104</v>
      </c>
      <c r="E20" s="2" t="s">
        <v>93</v>
      </c>
      <c r="F20" s="8">
        <v>22</v>
      </c>
      <c r="G20" s="8">
        <f>F20*1.2</f>
        <v>26.4</v>
      </c>
      <c r="H20" s="8">
        <f t="shared" si="1"/>
        <v>26</v>
      </c>
      <c r="I20" s="8">
        <v>23</v>
      </c>
      <c r="J20" s="8">
        <v>17</v>
      </c>
      <c r="K20" s="114">
        <v>5</v>
      </c>
      <c r="L20" s="8">
        <v>54</v>
      </c>
      <c r="M20" s="91">
        <f t="shared" si="9"/>
        <v>70.2</v>
      </c>
      <c r="N20" s="8">
        <f t="shared" si="2"/>
        <v>70</v>
      </c>
      <c r="O20" s="114">
        <f>VLOOKUP(B:B,[3]Sheet6!$G$1:$H$65536,2,0)</f>
        <v>5</v>
      </c>
      <c r="P20" s="114">
        <f>VLOOKUP(B:B,'10月'!B:S,18,0)</f>
        <v>18</v>
      </c>
      <c r="Q20" s="114">
        <f t="shared" si="3"/>
        <v>13</v>
      </c>
      <c r="R20" s="12">
        <v>10</v>
      </c>
      <c r="S20" s="122">
        <f t="shared" si="8"/>
        <v>12</v>
      </c>
      <c r="T20" s="122">
        <f t="shared" si="4"/>
        <v>12</v>
      </c>
      <c r="U20">
        <v>3168.29</v>
      </c>
      <c r="V20">
        <f>U20*1.3</f>
        <v>4118.777</v>
      </c>
      <c r="Z20">
        <f t="shared" si="7"/>
        <v>3818.78</v>
      </c>
      <c r="AA20">
        <f t="shared" si="5"/>
        <v>550.49</v>
      </c>
      <c r="AB20">
        <f t="shared" si="6"/>
        <v>3718.78</v>
      </c>
    </row>
    <row r="21" spans="1:28">
      <c r="A21" s="2">
        <v>19</v>
      </c>
      <c r="B21" s="2">
        <v>570</v>
      </c>
      <c r="C21" s="110" t="s">
        <v>116</v>
      </c>
      <c r="D21" s="2" t="s">
        <v>107</v>
      </c>
      <c r="E21" s="2" t="s">
        <v>93</v>
      </c>
      <c r="F21" s="8">
        <v>18</v>
      </c>
      <c r="G21" s="8">
        <f>F21*1.3</f>
        <v>23.4</v>
      </c>
      <c r="H21" s="8">
        <f t="shared" si="1"/>
        <v>23</v>
      </c>
      <c r="I21" s="8">
        <v>30</v>
      </c>
      <c r="J21" s="8">
        <v>6</v>
      </c>
      <c r="K21" s="114">
        <v>12</v>
      </c>
      <c r="L21" s="8">
        <v>71</v>
      </c>
      <c r="M21" s="91">
        <f t="shared" si="9"/>
        <v>92.3</v>
      </c>
      <c r="N21" s="8">
        <f t="shared" si="2"/>
        <v>92</v>
      </c>
      <c r="O21" s="114">
        <f>VLOOKUP(B:B,[3]Sheet6!$G$1:$H$65536,2,0)</f>
        <v>2</v>
      </c>
      <c r="P21" s="114">
        <f>VLOOKUP(B:B,'10月'!B:S,18,0)</f>
        <v>5</v>
      </c>
      <c r="Q21" s="114">
        <f t="shared" si="3"/>
        <v>3</v>
      </c>
      <c r="R21" s="12">
        <v>5</v>
      </c>
      <c r="S21" s="122">
        <f>R21*1.4</f>
        <v>7</v>
      </c>
      <c r="T21" s="122">
        <f t="shared" si="4"/>
        <v>7</v>
      </c>
      <c r="U21">
        <v>1905.53</v>
      </c>
      <c r="V21">
        <f>U21*1.5</f>
        <v>2858.295</v>
      </c>
      <c r="Z21">
        <f t="shared" si="7"/>
        <v>2558.3</v>
      </c>
      <c r="AA21">
        <f t="shared" si="5"/>
        <v>552.77</v>
      </c>
      <c r="AB21">
        <f t="shared" si="6"/>
        <v>2458.3</v>
      </c>
    </row>
    <row r="22" spans="1:28">
      <c r="A22" s="2">
        <v>20</v>
      </c>
      <c r="B22" s="2">
        <v>311</v>
      </c>
      <c r="C22" s="110" t="s">
        <v>117</v>
      </c>
      <c r="D22" s="2" t="s">
        <v>107</v>
      </c>
      <c r="E22" s="2" t="s">
        <v>93</v>
      </c>
      <c r="F22" s="8">
        <v>15</v>
      </c>
      <c r="G22" s="8">
        <f>F22*1.3</f>
        <v>19.5</v>
      </c>
      <c r="H22" s="8">
        <f t="shared" si="1"/>
        <v>20</v>
      </c>
      <c r="I22" s="8">
        <v>7</v>
      </c>
      <c r="J22" s="8">
        <v>24</v>
      </c>
      <c r="K22" s="114">
        <v>-9</v>
      </c>
      <c r="L22" s="8">
        <v>30</v>
      </c>
      <c r="M22" s="91">
        <f t="shared" si="9"/>
        <v>39</v>
      </c>
      <c r="N22" s="8">
        <f t="shared" si="2"/>
        <v>39</v>
      </c>
      <c r="O22" s="114">
        <f>VLOOKUP(B:B,[3]Sheet6!$G$1:$H$65536,2,0)</f>
        <v>3</v>
      </c>
      <c r="P22" s="114">
        <f>VLOOKUP(B:B,'10月'!B:S,18,0)</f>
        <v>4</v>
      </c>
      <c r="Q22" s="114">
        <f t="shared" si="3"/>
        <v>1</v>
      </c>
      <c r="R22" s="12">
        <v>4</v>
      </c>
      <c r="S22" s="122">
        <f>R22*1.4</f>
        <v>5.6</v>
      </c>
      <c r="T22" s="122">
        <f t="shared" si="4"/>
        <v>6</v>
      </c>
      <c r="U22">
        <v>4244</v>
      </c>
      <c r="V22">
        <f>U22*1.3</f>
        <v>5517.2</v>
      </c>
      <c r="Z22">
        <f>ROUND(V22-500,2)</f>
        <v>5017.2</v>
      </c>
      <c r="AA22">
        <f t="shared" si="5"/>
        <v>673.2</v>
      </c>
      <c r="AB22">
        <f t="shared" si="6"/>
        <v>4917.2</v>
      </c>
    </row>
    <row r="23" spans="1:28">
      <c r="A23" s="2">
        <v>21</v>
      </c>
      <c r="B23" s="101">
        <v>102565</v>
      </c>
      <c r="C23" s="111" t="s">
        <v>118</v>
      </c>
      <c r="D23" s="2" t="s">
        <v>109</v>
      </c>
      <c r="E23" s="2" t="s">
        <v>93</v>
      </c>
      <c r="F23" s="8">
        <v>4</v>
      </c>
      <c r="G23" s="8">
        <f>F23*1.4</f>
        <v>5.6</v>
      </c>
      <c r="H23" s="8">
        <f t="shared" si="1"/>
        <v>6</v>
      </c>
      <c r="I23" s="8">
        <v>1</v>
      </c>
      <c r="J23" s="8">
        <v>6</v>
      </c>
      <c r="K23" s="114">
        <v>-2</v>
      </c>
      <c r="L23" s="8">
        <v>74</v>
      </c>
      <c r="M23" s="91">
        <f t="shared" si="9"/>
        <v>96.2</v>
      </c>
      <c r="N23" s="8">
        <f t="shared" si="2"/>
        <v>96</v>
      </c>
      <c r="O23" s="114">
        <f>VLOOKUP(B:B,[3]Sheet6!$G$1:$H$65536,2,0)</f>
        <v>5</v>
      </c>
      <c r="P23" s="114">
        <f>VLOOKUP(B:B,'10月'!B:S,18,0)</f>
        <v>4</v>
      </c>
      <c r="Q23" s="114">
        <f t="shared" si="3"/>
        <v>-1</v>
      </c>
      <c r="R23" s="12">
        <f>O23</f>
        <v>5</v>
      </c>
      <c r="S23" s="122">
        <f>R23*1.4</f>
        <v>7</v>
      </c>
      <c r="T23" s="122">
        <f t="shared" si="4"/>
        <v>7</v>
      </c>
      <c r="U23">
        <v>1701.3</v>
      </c>
      <c r="V23">
        <f>U23*1.5</f>
        <v>2551.95</v>
      </c>
      <c r="W23">
        <f>VLOOKUP(B:B,[3]Sheet10!$G$1:$H$65536,2,0)</f>
        <v>711.81</v>
      </c>
      <c r="X23">
        <f>VLOOKUP(B:B,'10月'!B:AB,27,0)</f>
        <v>1701.3</v>
      </c>
      <c r="Y23">
        <f>X23-W23</f>
        <v>989.49</v>
      </c>
      <c r="Z23">
        <f t="shared" si="7"/>
        <v>2251.95</v>
      </c>
      <c r="AA23">
        <f t="shared" si="5"/>
        <v>450.65</v>
      </c>
      <c r="AB23">
        <f t="shared" si="6"/>
        <v>2151.95</v>
      </c>
    </row>
    <row r="24" spans="1:28">
      <c r="A24" s="2">
        <v>22</v>
      </c>
      <c r="B24" s="101">
        <v>103198</v>
      </c>
      <c r="C24" s="111" t="s">
        <v>119</v>
      </c>
      <c r="D24" s="2" t="s">
        <v>109</v>
      </c>
      <c r="E24" s="2" t="s">
        <v>93</v>
      </c>
      <c r="F24" s="8">
        <v>8</v>
      </c>
      <c r="G24" s="8">
        <f>F24*1.4</f>
        <v>11.2</v>
      </c>
      <c r="H24" s="8">
        <f t="shared" si="1"/>
        <v>11</v>
      </c>
      <c r="I24" s="8">
        <v>8</v>
      </c>
      <c r="J24" s="8">
        <v>6</v>
      </c>
      <c r="K24" s="114">
        <v>2</v>
      </c>
      <c r="L24" s="8">
        <v>74</v>
      </c>
      <c r="M24" s="91">
        <f t="shared" si="9"/>
        <v>96.2</v>
      </c>
      <c r="N24" s="8">
        <f t="shared" si="2"/>
        <v>96</v>
      </c>
      <c r="O24" s="114">
        <f>VLOOKUP(B:B,[3]Sheet6!$G$1:$H$65536,2,0)</f>
        <v>7</v>
      </c>
      <c r="P24" s="114">
        <f>VLOOKUP(B:B,'10月'!B:S,18,0)</f>
        <v>7</v>
      </c>
      <c r="Q24" s="114">
        <f t="shared" si="3"/>
        <v>0</v>
      </c>
      <c r="R24" s="12">
        <v>8</v>
      </c>
      <c r="S24" s="122">
        <f>R24*1.4</f>
        <v>11.2</v>
      </c>
      <c r="T24" s="122">
        <f t="shared" si="4"/>
        <v>11</v>
      </c>
      <c r="U24">
        <v>1219</v>
      </c>
      <c r="V24">
        <f>U24*1.5</f>
        <v>1828.5</v>
      </c>
      <c r="W24">
        <f>VLOOKUP(B:B,[3]Sheet10!$G$1:$H$65536,2,0)</f>
        <v>1248.26</v>
      </c>
      <c r="X24">
        <f>VLOOKUP(B:B,'10月'!B:AB,27,0)</f>
        <v>1219</v>
      </c>
      <c r="Y24">
        <f>X24-W24</f>
        <v>-29.26</v>
      </c>
      <c r="Z24">
        <f t="shared" si="7"/>
        <v>1528.5</v>
      </c>
      <c r="AA24">
        <f t="shared" si="5"/>
        <v>209.5</v>
      </c>
      <c r="AB24">
        <f t="shared" si="6"/>
        <v>1428.5</v>
      </c>
    </row>
    <row r="25" spans="1:28">
      <c r="A25" s="2">
        <v>23</v>
      </c>
      <c r="B25" s="101">
        <v>103199</v>
      </c>
      <c r="C25" s="111" t="s">
        <v>120</v>
      </c>
      <c r="D25" s="2" t="s">
        <v>109</v>
      </c>
      <c r="E25" s="2" t="s">
        <v>93</v>
      </c>
      <c r="F25" s="8">
        <v>4</v>
      </c>
      <c r="G25" s="8">
        <f>F25*1.4</f>
        <v>5.6</v>
      </c>
      <c r="H25" s="8">
        <f t="shared" si="1"/>
        <v>6</v>
      </c>
      <c r="I25" s="8">
        <v>2</v>
      </c>
      <c r="J25" s="8">
        <v>6</v>
      </c>
      <c r="K25" s="114">
        <v>-2</v>
      </c>
      <c r="L25" s="8">
        <v>74</v>
      </c>
      <c r="M25" s="91">
        <f t="shared" si="9"/>
        <v>96.2</v>
      </c>
      <c r="N25" s="8">
        <f t="shared" si="2"/>
        <v>96</v>
      </c>
      <c r="O25" s="114">
        <f>VLOOKUP(B:B,[3]Sheet6!$G$1:$H$65536,2,0)</f>
        <v>6</v>
      </c>
      <c r="P25" s="114">
        <f>VLOOKUP(B:B,'10月'!B:S,18,0)</f>
        <v>2</v>
      </c>
      <c r="Q25" s="114">
        <f t="shared" si="3"/>
        <v>-4</v>
      </c>
      <c r="R25" s="12">
        <f>O25</f>
        <v>6</v>
      </c>
      <c r="S25" s="122">
        <f>R25*1.4</f>
        <v>8.4</v>
      </c>
      <c r="T25" s="122">
        <f t="shared" si="4"/>
        <v>8</v>
      </c>
      <c r="U25">
        <v>1137</v>
      </c>
      <c r="V25">
        <f>U25*1.5</f>
        <v>1705.5</v>
      </c>
      <c r="W25">
        <f>VLOOKUP(B:B,[3]Sheet10!$G$1:$H$65536,2,0)</f>
        <v>1049.53</v>
      </c>
      <c r="X25">
        <f>VLOOKUP(B:B,'10月'!B:AB,27,0)</f>
        <v>1137</v>
      </c>
      <c r="Y25">
        <f>X25-W25</f>
        <v>87.47</v>
      </c>
      <c r="Z25">
        <f t="shared" si="7"/>
        <v>1405.5</v>
      </c>
      <c r="AA25">
        <f t="shared" si="5"/>
        <v>268.5</v>
      </c>
      <c r="AB25">
        <f>Z25</f>
        <v>1405.5</v>
      </c>
    </row>
    <row r="26" spans="1:28">
      <c r="A26" s="2">
        <v>24</v>
      </c>
      <c r="B26" s="101">
        <v>102934</v>
      </c>
      <c r="C26" s="111" t="s">
        <v>121</v>
      </c>
      <c r="D26" s="2" t="s">
        <v>92</v>
      </c>
      <c r="E26" s="2" t="s">
        <v>93</v>
      </c>
      <c r="F26" s="8">
        <v>20</v>
      </c>
      <c r="G26" s="8">
        <f>F26*1.2</f>
        <v>24</v>
      </c>
      <c r="H26" s="8">
        <f t="shared" si="1"/>
        <v>24</v>
      </c>
      <c r="I26" s="8">
        <v>16</v>
      </c>
      <c r="J26" s="8">
        <v>24</v>
      </c>
      <c r="K26" s="114">
        <v>-4</v>
      </c>
      <c r="L26" s="8">
        <v>104</v>
      </c>
      <c r="M26" s="8">
        <f>L26*1.18</f>
        <v>122.72</v>
      </c>
      <c r="N26" s="8">
        <f t="shared" si="2"/>
        <v>123</v>
      </c>
      <c r="O26" s="114">
        <f>VLOOKUP(B:B,[3]Sheet6!$G$1:$H$65536,2,0)</f>
        <v>21</v>
      </c>
      <c r="P26" s="114">
        <f>VLOOKUP(B:B,'10月'!B:S,18,0)</f>
        <v>22</v>
      </c>
      <c r="Q26" s="114">
        <f t="shared" si="3"/>
        <v>1</v>
      </c>
      <c r="R26" s="12">
        <v>22</v>
      </c>
      <c r="S26" s="122">
        <f>R26*1.15</f>
        <v>25.3</v>
      </c>
      <c r="T26" s="122">
        <f t="shared" si="4"/>
        <v>25</v>
      </c>
      <c r="U26">
        <v>2956</v>
      </c>
      <c r="V26">
        <f>U26*1.4</f>
        <v>4138.4</v>
      </c>
      <c r="W26">
        <f>VLOOKUP(B:B,[3]Sheet10!$G$1:$H$65536,2,0)</f>
        <v>2452.54</v>
      </c>
      <c r="X26">
        <f>VLOOKUP(B:B,'10月'!B:AB,27,0)</f>
        <v>2956</v>
      </c>
      <c r="Y26">
        <f>X26-W26</f>
        <v>503.46</v>
      </c>
      <c r="Z26">
        <f>ROUND(V26-400,2)</f>
        <v>3738.4</v>
      </c>
      <c r="AA26">
        <f t="shared" si="5"/>
        <v>682.4</v>
      </c>
      <c r="AB26">
        <f>Z26-100</f>
        <v>3638.4</v>
      </c>
    </row>
    <row r="27" spans="1:28">
      <c r="A27" s="2">
        <v>25</v>
      </c>
      <c r="B27" s="101">
        <v>104429</v>
      </c>
      <c r="C27" s="112" t="s">
        <v>122</v>
      </c>
      <c r="D27" s="113"/>
      <c r="E27" s="101" t="str">
        <f>VLOOKUP(B:B,[2]查询时间段分门店销售汇总!$D$1:$H$65536,5,0)</f>
        <v>西北片区</v>
      </c>
      <c r="F27" s="8">
        <v>6</v>
      </c>
      <c r="G27" s="8">
        <f>F27*1.4</f>
        <v>8.4</v>
      </c>
      <c r="H27" s="8">
        <f t="shared" si="1"/>
        <v>8</v>
      </c>
      <c r="I27" s="8">
        <v>6</v>
      </c>
      <c r="J27" s="8" t="e">
        <v>#N/A</v>
      </c>
      <c r="K27" s="114" t="e">
        <v>#N/A</v>
      </c>
      <c r="L27" s="8">
        <v>40</v>
      </c>
      <c r="M27" s="91">
        <f>L27*1.3</f>
        <v>52</v>
      </c>
      <c r="N27" s="8">
        <f t="shared" si="2"/>
        <v>52</v>
      </c>
      <c r="O27" s="114">
        <f>VLOOKUP(B:B,[3]Sheet6!$G$1:$H$65536,2,0)</f>
        <v>2</v>
      </c>
      <c r="P27" s="114" t="e">
        <f>VLOOKUP(B:B,'10月'!B:S,18,0)</f>
        <v>#N/A</v>
      </c>
      <c r="Q27" s="114" t="e">
        <f t="shared" si="3"/>
        <v>#N/A</v>
      </c>
      <c r="R27" s="12">
        <f>O27</f>
        <v>2</v>
      </c>
      <c r="S27" s="122">
        <f>R27*1.4</f>
        <v>2.8</v>
      </c>
      <c r="T27" s="122">
        <f t="shared" si="4"/>
        <v>3</v>
      </c>
      <c r="U27">
        <v>800</v>
      </c>
      <c r="V27">
        <f>U27*1.6</f>
        <v>1280</v>
      </c>
      <c r="W27">
        <f>VLOOKUP(B:B,[3]Sheet10!$G$1:$H$65536,2,0)</f>
        <v>823.2</v>
      </c>
      <c r="X27" t="e">
        <f>VLOOKUP(B:B,'10月'!B:AB,27,0)</f>
        <v>#N/A</v>
      </c>
      <c r="Y27" t="e">
        <f>X27-W27</f>
        <v>#N/A</v>
      </c>
      <c r="Z27">
        <f t="shared" si="7"/>
        <v>980</v>
      </c>
      <c r="AA27">
        <f t="shared" si="5"/>
        <v>180</v>
      </c>
      <c r="AB27">
        <f>Z27</f>
        <v>980</v>
      </c>
    </row>
    <row r="28" spans="1:28">
      <c r="A28" s="2">
        <v>26</v>
      </c>
      <c r="B28" s="2">
        <v>307</v>
      </c>
      <c r="C28" s="110" t="s">
        <v>123</v>
      </c>
      <c r="D28" s="2" t="s">
        <v>124</v>
      </c>
      <c r="E28" s="2" t="s">
        <v>125</v>
      </c>
      <c r="F28" s="8">
        <v>151</v>
      </c>
      <c r="G28" s="8">
        <f>F28*1.1</f>
        <v>166.1</v>
      </c>
      <c r="H28" s="8">
        <f t="shared" si="1"/>
        <v>166</v>
      </c>
      <c r="I28" s="8">
        <v>149</v>
      </c>
      <c r="J28" s="8">
        <v>151</v>
      </c>
      <c r="K28" s="114">
        <v>0</v>
      </c>
      <c r="L28" s="8">
        <v>540</v>
      </c>
      <c r="M28" s="8">
        <f>L28*1.05</f>
        <v>567</v>
      </c>
      <c r="N28" s="8">
        <f t="shared" si="2"/>
        <v>567</v>
      </c>
      <c r="O28" s="114">
        <f>VLOOKUP(B:B,[3]Sheet6!$G$1:$H$65536,2,0)</f>
        <v>144</v>
      </c>
      <c r="P28" s="114">
        <f>VLOOKUP(B:B,'10月'!B:S,18,0)</f>
        <v>111</v>
      </c>
      <c r="Q28" s="114">
        <f t="shared" si="3"/>
        <v>-33</v>
      </c>
      <c r="R28" s="12">
        <v>131</v>
      </c>
      <c r="S28" s="122">
        <f>R28*1.15</f>
        <v>150.65</v>
      </c>
      <c r="T28" s="122">
        <f t="shared" si="4"/>
        <v>151</v>
      </c>
      <c r="U28">
        <v>50818.51</v>
      </c>
      <c r="V28">
        <f>U28*1.03</f>
        <v>52343.0653</v>
      </c>
      <c r="Z28">
        <f>ROUND(V28-500,2)</f>
        <v>51843.07</v>
      </c>
      <c r="AA28">
        <f t="shared" si="5"/>
        <v>924.559999999998</v>
      </c>
      <c r="AB28">
        <f t="shared" ref="AB28:AB42" si="10">Z28-100</f>
        <v>51743.07</v>
      </c>
    </row>
    <row r="29" spans="1:28">
      <c r="A29" s="2">
        <v>27</v>
      </c>
      <c r="B29" s="2">
        <v>712</v>
      </c>
      <c r="C29" s="110" t="s">
        <v>126</v>
      </c>
      <c r="D29" s="2" t="s">
        <v>92</v>
      </c>
      <c r="E29" s="2" t="s">
        <v>127</v>
      </c>
      <c r="F29" s="8">
        <v>24</v>
      </c>
      <c r="G29" s="8">
        <f t="shared" ref="G29:G35" si="11">F29*1.2</f>
        <v>28.8</v>
      </c>
      <c r="H29" s="8">
        <f t="shared" si="1"/>
        <v>29</v>
      </c>
      <c r="I29" s="8">
        <v>17</v>
      </c>
      <c r="J29" s="8">
        <v>27</v>
      </c>
      <c r="K29" s="114">
        <v>-3</v>
      </c>
      <c r="L29" s="8">
        <v>359</v>
      </c>
      <c r="M29" s="8">
        <f>L29*1.08</f>
        <v>387.72</v>
      </c>
      <c r="N29" s="8">
        <f t="shared" si="2"/>
        <v>388</v>
      </c>
      <c r="O29" s="114">
        <f>VLOOKUP(B:B,[3]Sheet6!$G$1:$H$65536,2,0)</f>
        <v>14</v>
      </c>
      <c r="P29" s="114">
        <f>VLOOKUP(B:B,'10月'!B:S,18,0)</f>
        <v>6</v>
      </c>
      <c r="Q29" s="114">
        <f t="shared" si="3"/>
        <v>-8</v>
      </c>
      <c r="R29" s="12">
        <f>O29</f>
        <v>14</v>
      </c>
      <c r="S29" s="122">
        <f>R29*1.2</f>
        <v>16.8</v>
      </c>
      <c r="T29" s="122">
        <f t="shared" si="4"/>
        <v>17</v>
      </c>
      <c r="U29">
        <v>11820.05</v>
      </c>
      <c r="V29">
        <f>U29*1.08</f>
        <v>12765.654</v>
      </c>
      <c r="Z29">
        <f t="shared" si="7"/>
        <v>12465.65</v>
      </c>
      <c r="AA29">
        <f t="shared" si="5"/>
        <v>545.6</v>
      </c>
      <c r="AB29">
        <f t="shared" si="10"/>
        <v>12365.65</v>
      </c>
    </row>
    <row r="30" spans="1:28">
      <c r="A30" s="2">
        <v>28</v>
      </c>
      <c r="B30" s="2">
        <v>571</v>
      </c>
      <c r="C30" s="110" t="s">
        <v>128</v>
      </c>
      <c r="D30" s="2" t="s">
        <v>92</v>
      </c>
      <c r="E30" s="2" t="s">
        <v>127</v>
      </c>
      <c r="F30" s="8">
        <v>30</v>
      </c>
      <c r="G30" s="8">
        <f t="shared" si="11"/>
        <v>36</v>
      </c>
      <c r="H30" s="8">
        <f t="shared" si="1"/>
        <v>36</v>
      </c>
      <c r="I30" s="8">
        <v>33</v>
      </c>
      <c r="J30" s="8">
        <v>27</v>
      </c>
      <c r="K30" s="114">
        <v>3</v>
      </c>
      <c r="L30" s="8">
        <v>380</v>
      </c>
      <c r="M30" s="8">
        <f>L30*1.07</f>
        <v>406.6</v>
      </c>
      <c r="N30" s="8">
        <f t="shared" si="2"/>
        <v>407</v>
      </c>
      <c r="O30" s="114">
        <f>VLOOKUP(B:B,[3]Sheet6!$G$1:$H$65536,2,0)</f>
        <v>24</v>
      </c>
      <c r="P30" s="114">
        <f>VLOOKUP(B:B,'10月'!B:S,18,0)</f>
        <v>11</v>
      </c>
      <c r="Q30" s="114">
        <f t="shared" si="3"/>
        <v>-13</v>
      </c>
      <c r="R30" s="12">
        <v>21</v>
      </c>
      <c r="S30" s="122">
        <f>R30*1.15</f>
        <v>24.15</v>
      </c>
      <c r="T30" s="122">
        <f t="shared" si="4"/>
        <v>24</v>
      </c>
      <c r="U30">
        <v>8338.57</v>
      </c>
      <c r="V30">
        <f>U30*1.18</f>
        <v>9839.5126</v>
      </c>
      <c r="Z30">
        <f>ROUND(V30-500,2)</f>
        <v>9339.51</v>
      </c>
      <c r="AA30">
        <f t="shared" si="5"/>
        <v>900.940000000001</v>
      </c>
      <c r="AB30">
        <f t="shared" si="10"/>
        <v>9239.51</v>
      </c>
    </row>
    <row r="31" spans="1:28">
      <c r="A31" s="2">
        <v>29</v>
      </c>
      <c r="B31" s="2">
        <v>750</v>
      </c>
      <c r="C31" s="110" t="s">
        <v>129</v>
      </c>
      <c r="D31" s="2" t="s">
        <v>92</v>
      </c>
      <c r="E31" s="2" t="s">
        <v>127</v>
      </c>
      <c r="F31" s="8">
        <v>24</v>
      </c>
      <c r="G31" s="8">
        <f t="shared" si="11"/>
        <v>28.8</v>
      </c>
      <c r="H31" s="8">
        <f t="shared" si="1"/>
        <v>29</v>
      </c>
      <c r="I31" s="8">
        <v>15</v>
      </c>
      <c r="J31" s="8">
        <v>27</v>
      </c>
      <c r="K31" s="114">
        <v>-3</v>
      </c>
      <c r="L31" s="8">
        <v>251</v>
      </c>
      <c r="M31" s="8">
        <f>L31*1.09</f>
        <v>273.59</v>
      </c>
      <c r="N31" s="8">
        <f t="shared" si="2"/>
        <v>274</v>
      </c>
      <c r="O31" s="114">
        <f>VLOOKUP(B:B,[3]Sheet6!$G$1:$H$65536,2,0)</f>
        <v>25</v>
      </c>
      <c r="P31" s="114">
        <f>VLOOKUP(B:B,'10月'!B:S,18,0)</f>
        <v>29</v>
      </c>
      <c r="Q31" s="114">
        <f t="shared" si="3"/>
        <v>4</v>
      </c>
      <c r="R31" s="12">
        <v>29</v>
      </c>
      <c r="S31" s="122">
        <f>R31*1.15</f>
        <v>33.35</v>
      </c>
      <c r="T31" s="122">
        <f t="shared" si="4"/>
        <v>33</v>
      </c>
      <c r="U31">
        <v>3431.57</v>
      </c>
      <c r="V31">
        <f>U31*1.3</f>
        <v>4461.041</v>
      </c>
      <c r="Z31">
        <f t="shared" si="7"/>
        <v>4161.04</v>
      </c>
      <c r="AA31">
        <f t="shared" si="5"/>
        <v>629.47</v>
      </c>
      <c r="AB31">
        <f t="shared" si="10"/>
        <v>4061.04</v>
      </c>
    </row>
    <row r="32" spans="1:28">
      <c r="A32" s="2">
        <v>30</v>
      </c>
      <c r="B32" s="2">
        <v>707</v>
      </c>
      <c r="C32" s="110" t="s">
        <v>130</v>
      </c>
      <c r="D32" s="2" t="s">
        <v>95</v>
      </c>
      <c r="E32" s="2" t="s">
        <v>127</v>
      </c>
      <c r="F32" s="8">
        <v>24</v>
      </c>
      <c r="G32" s="8">
        <f t="shared" si="11"/>
        <v>28.8</v>
      </c>
      <c r="H32" s="8">
        <f t="shared" si="1"/>
        <v>29</v>
      </c>
      <c r="I32" s="8">
        <v>15</v>
      </c>
      <c r="J32" s="8">
        <v>27</v>
      </c>
      <c r="K32" s="114">
        <v>-3</v>
      </c>
      <c r="L32" s="8">
        <v>218</v>
      </c>
      <c r="M32" s="8">
        <f>L32*1.09</f>
        <v>237.62</v>
      </c>
      <c r="N32" s="8">
        <f t="shared" si="2"/>
        <v>238</v>
      </c>
      <c r="O32" s="114">
        <f>VLOOKUP(B:B,[3]Sheet6!$G$1:$H$65536,2,0)</f>
        <v>16</v>
      </c>
      <c r="P32" s="114">
        <f>VLOOKUP(B:B,'10月'!B:S,18,0)</f>
        <v>9</v>
      </c>
      <c r="Q32" s="114">
        <f t="shared" si="3"/>
        <v>-7</v>
      </c>
      <c r="R32" s="12">
        <f>O32</f>
        <v>16</v>
      </c>
      <c r="S32" s="122">
        <f>R32*1.2</f>
        <v>19.2</v>
      </c>
      <c r="T32" s="122">
        <f t="shared" si="4"/>
        <v>19</v>
      </c>
      <c r="U32">
        <v>2953.01</v>
      </c>
      <c r="V32">
        <f>U32*1.4</f>
        <v>4134.214</v>
      </c>
      <c r="Z32">
        <f>ROUND(V32-400,2)</f>
        <v>3734.21</v>
      </c>
      <c r="AA32">
        <f t="shared" si="5"/>
        <v>681.2</v>
      </c>
      <c r="AB32">
        <f t="shared" si="10"/>
        <v>3634.21</v>
      </c>
    </row>
    <row r="33" spans="1:28">
      <c r="A33" s="2">
        <v>31</v>
      </c>
      <c r="B33" s="2">
        <v>387</v>
      </c>
      <c r="C33" s="110" t="s">
        <v>131</v>
      </c>
      <c r="D33" s="2" t="s">
        <v>92</v>
      </c>
      <c r="E33" s="2" t="s">
        <v>127</v>
      </c>
      <c r="F33" s="8">
        <v>20</v>
      </c>
      <c r="G33" s="8">
        <f t="shared" si="11"/>
        <v>24</v>
      </c>
      <c r="H33" s="8">
        <f t="shared" si="1"/>
        <v>24</v>
      </c>
      <c r="I33" s="8">
        <v>11</v>
      </c>
      <c r="J33" s="8">
        <v>27</v>
      </c>
      <c r="K33" s="114">
        <v>-7</v>
      </c>
      <c r="L33" s="8">
        <v>288</v>
      </c>
      <c r="M33" s="8">
        <f>L33*1.09</f>
        <v>313.92</v>
      </c>
      <c r="N33" s="8">
        <f t="shared" si="2"/>
        <v>314</v>
      </c>
      <c r="O33" s="114">
        <f>VLOOKUP(B:B,[3]Sheet6!$G$1:$H$65536,2,0)</f>
        <v>9</v>
      </c>
      <c r="P33" s="114">
        <f>VLOOKUP(B:B,'10月'!B:S,18,0)</f>
        <v>9</v>
      </c>
      <c r="Q33" s="114">
        <f t="shared" si="3"/>
        <v>0</v>
      </c>
      <c r="R33" s="12">
        <v>9</v>
      </c>
      <c r="S33" s="122">
        <f>R33*1.4</f>
        <v>12.6</v>
      </c>
      <c r="T33" s="122">
        <f t="shared" si="4"/>
        <v>13</v>
      </c>
      <c r="U33">
        <v>3394.97</v>
      </c>
      <c r="V33">
        <f>U33*1.3</f>
        <v>4413.461</v>
      </c>
      <c r="Z33">
        <f t="shared" si="7"/>
        <v>4113.46</v>
      </c>
      <c r="AA33">
        <f t="shared" si="5"/>
        <v>618.49</v>
      </c>
      <c r="AB33">
        <f t="shared" si="10"/>
        <v>4013.46</v>
      </c>
    </row>
    <row r="34" spans="1:28">
      <c r="A34" s="2">
        <v>32</v>
      </c>
      <c r="B34" s="2">
        <v>546</v>
      </c>
      <c r="C34" s="110" t="s">
        <v>132</v>
      </c>
      <c r="D34" s="2" t="s">
        <v>95</v>
      </c>
      <c r="E34" s="2" t="s">
        <v>127</v>
      </c>
      <c r="F34" s="8">
        <v>20</v>
      </c>
      <c r="G34" s="8">
        <f t="shared" si="11"/>
        <v>24</v>
      </c>
      <c r="H34" s="8">
        <f t="shared" si="1"/>
        <v>24</v>
      </c>
      <c r="I34" s="8">
        <v>9</v>
      </c>
      <c r="J34" s="8">
        <v>27</v>
      </c>
      <c r="K34" s="114">
        <v>-7</v>
      </c>
      <c r="L34" s="8">
        <v>335</v>
      </c>
      <c r="M34" s="8">
        <f>L34*1.08</f>
        <v>361.8</v>
      </c>
      <c r="N34" s="8">
        <f t="shared" si="2"/>
        <v>362</v>
      </c>
      <c r="O34" s="114">
        <f>VLOOKUP(B:B,[3]Sheet6!$G$1:$H$65536,2,0)</f>
        <v>13</v>
      </c>
      <c r="P34" s="114">
        <f>VLOOKUP(B:B,'10月'!B:S,18,0)</f>
        <v>11</v>
      </c>
      <c r="Q34" s="114">
        <f t="shared" si="3"/>
        <v>-2</v>
      </c>
      <c r="R34" s="12">
        <f>O34</f>
        <v>13</v>
      </c>
      <c r="S34" s="122">
        <f>R34*1.2</f>
        <v>15.6</v>
      </c>
      <c r="T34" s="122">
        <f t="shared" si="4"/>
        <v>16</v>
      </c>
      <c r="U34">
        <v>4633.55</v>
      </c>
      <c r="V34">
        <f>U34*1.3</f>
        <v>6023.615</v>
      </c>
      <c r="Z34">
        <f>ROUND(V34-500,2)</f>
        <v>5523.62</v>
      </c>
      <c r="AA34">
        <f t="shared" si="5"/>
        <v>790.07</v>
      </c>
      <c r="AB34">
        <f t="shared" si="10"/>
        <v>5423.62</v>
      </c>
    </row>
    <row r="35" spans="1:28">
      <c r="A35" s="2">
        <v>33</v>
      </c>
      <c r="B35" s="2">
        <v>724</v>
      </c>
      <c r="C35" s="110" t="s">
        <v>133</v>
      </c>
      <c r="D35" s="2" t="s">
        <v>95</v>
      </c>
      <c r="E35" s="2" t="s">
        <v>127</v>
      </c>
      <c r="F35" s="8">
        <v>20</v>
      </c>
      <c r="G35" s="8">
        <f t="shared" si="11"/>
        <v>24</v>
      </c>
      <c r="H35" s="8">
        <f t="shared" si="1"/>
        <v>24</v>
      </c>
      <c r="I35" s="8">
        <v>20</v>
      </c>
      <c r="J35" s="8">
        <v>20</v>
      </c>
      <c r="K35" s="114">
        <v>0</v>
      </c>
      <c r="L35" s="8">
        <v>223</v>
      </c>
      <c r="M35" s="8">
        <f>L35*1.09</f>
        <v>243.07</v>
      </c>
      <c r="N35" s="8">
        <f t="shared" si="2"/>
        <v>243</v>
      </c>
      <c r="O35" s="114">
        <f>VLOOKUP(B:B,[3]Sheet6!$G$1:$H$65536,2,0)</f>
        <v>10</v>
      </c>
      <c r="P35" s="114">
        <f>VLOOKUP(B:B,'10月'!B:S,18,0)</f>
        <v>9</v>
      </c>
      <c r="Q35" s="114">
        <f t="shared" si="3"/>
        <v>-1</v>
      </c>
      <c r="R35" s="12">
        <f>O35</f>
        <v>10</v>
      </c>
      <c r="S35" s="122">
        <f>R35*1.4</f>
        <v>14</v>
      </c>
      <c r="T35" s="122">
        <f t="shared" si="4"/>
        <v>14</v>
      </c>
      <c r="U35">
        <v>3167.91</v>
      </c>
      <c r="V35">
        <f>U35*1.3</f>
        <v>4118.283</v>
      </c>
      <c r="Z35">
        <f t="shared" si="7"/>
        <v>3818.28</v>
      </c>
      <c r="AA35">
        <f t="shared" si="5"/>
        <v>550.37</v>
      </c>
      <c r="AB35">
        <f t="shared" si="10"/>
        <v>3718.28</v>
      </c>
    </row>
    <row r="36" spans="1:28">
      <c r="A36" s="2">
        <v>34</v>
      </c>
      <c r="B36" s="2">
        <v>598</v>
      </c>
      <c r="C36" s="110" t="s">
        <v>134</v>
      </c>
      <c r="D36" s="2" t="s">
        <v>104</v>
      </c>
      <c r="E36" s="2" t="s">
        <v>127</v>
      </c>
      <c r="F36" s="8">
        <v>14</v>
      </c>
      <c r="G36" s="8">
        <f>F36*1.3</f>
        <v>18.2</v>
      </c>
      <c r="H36" s="8">
        <f t="shared" ref="H36:H67" si="12">ROUND(G36,0)</f>
        <v>18</v>
      </c>
      <c r="I36" s="8">
        <v>9</v>
      </c>
      <c r="J36" s="8">
        <v>17</v>
      </c>
      <c r="K36" s="114">
        <v>-3</v>
      </c>
      <c r="L36" s="8">
        <v>246</v>
      </c>
      <c r="M36" s="8">
        <f>L36*1.09</f>
        <v>268.14</v>
      </c>
      <c r="N36" s="8">
        <f t="shared" ref="N36:N67" si="13">ROUND(M36,0)</f>
        <v>268</v>
      </c>
      <c r="O36" s="114">
        <f>VLOOKUP(B:B,[3]Sheet6!$G$1:$H$65536,2,0)</f>
        <v>18</v>
      </c>
      <c r="P36" s="114">
        <f>VLOOKUP(B:B,'10月'!B:S,18,0)</f>
        <v>10</v>
      </c>
      <c r="Q36" s="114">
        <f t="shared" ref="Q36:Q67" si="14">P36-O36</f>
        <v>-8</v>
      </c>
      <c r="R36" s="12">
        <f>O36</f>
        <v>18</v>
      </c>
      <c r="S36" s="122">
        <f>R36*1.2</f>
        <v>21.6</v>
      </c>
      <c r="T36" s="122">
        <f t="shared" ref="T36:T67" si="15">ROUND(S36,0)</f>
        <v>22</v>
      </c>
      <c r="U36">
        <v>3308.58</v>
      </c>
      <c r="V36">
        <f>U36*1.3</f>
        <v>4301.154</v>
      </c>
      <c r="Z36">
        <f t="shared" ref="Z36:Z67" si="16">ROUND(V36-300,2)</f>
        <v>4001.15</v>
      </c>
      <c r="AA36">
        <f t="shared" ref="AA36:AA67" si="17">AB36-U36</f>
        <v>592.57</v>
      </c>
      <c r="AB36">
        <f t="shared" si="10"/>
        <v>3901.15</v>
      </c>
    </row>
    <row r="37" spans="1:28">
      <c r="A37" s="2">
        <v>35</v>
      </c>
      <c r="B37" s="2">
        <v>399</v>
      </c>
      <c r="C37" s="110" t="s">
        <v>135</v>
      </c>
      <c r="D37" s="2" t="s">
        <v>104</v>
      </c>
      <c r="E37" s="2" t="s">
        <v>127</v>
      </c>
      <c r="F37" s="8">
        <v>14</v>
      </c>
      <c r="G37" s="8">
        <f>F37*1.3</f>
        <v>18.2</v>
      </c>
      <c r="H37" s="8">
        <f t="shared" si="12"/>
        <v>18</v>
      </c>
      <c r="I37" s="8">
        <v>12</v>
      </c>
      <c r="J37" s="8">
        <v>17</v>
      </c>
      <c r="K37" s="114">
        <v>-3</v>
      </c>
      <c r="L37" s="8">
        <v>203</v>
      </c>
      <c r="M37" s="8">
        <f>L37*1.09</f>
        <v>221.27</v>
      </c>
      <c r="N37" s="8">
        <f t="shared" si="13"/>
        <v>221</v>
      </c>
      <c r="O37" s="114">
        <f>VLOOKUP(B:B,[3]Sheet6!$G$1:$H$65536,2,0)</f>
        <v>19</v>
      </c>
      <c r="P37" s="114">
        <f>VLOOKUP(B:B,'10月'!B:S,18,0)</f>
        <v>11</v>
      </c>
      <c r="Q37" s="114">
        <f t="shared" si="14"/>
        <v>-8</v>
      </c>
      <c r="R37" s="12">
        <f>O37</f>
        <v>19</v>
      </c>
      <c r="S37" s="122">
        <f>R37*1.2</f>
        <v>22.8</v>
      </c>
      <c r="T37" s="122">
        <f t="shared" si="15"/>
        <v>23</v>
      </c>
      <c r="U37">
        <v>7080.23</v>
      </c>
      <c r="V37">
        <f>U37*1.2</f>
        <v>8496.276</v>
      </c>
      <c r="Z37">
        <f>ROUND(V37-500,2)</f>
        <v>7996.28</v>
      </c>
      <c r="AA37">
        <f t="shared" si="17"/>
        <v>816.05</v>
      </c>
      <c r="AB37">
        <f t="shared" si="10"/>
        <v>7896.28</v>
      </c>
    </row>
    <row r="38" spans="1:28">
      <c r="A38" s="2">
        <v>36</v>
      </c>
      <c r="B38" s="2">
        <v>573</v>
      </c>
      <c r="C38" s="110" t="s">
        <v>136</v>
      </c>
      <c r="D38" s="2" t="s">
        <v>107</v>
      </c>
      <c r="E38" s="2" t="s">
        <v>127</v>
      </c>
      <c r="F38" s="8">
        <v>7</v>
      </c>
      <c r="G38" s="8">
        <f>F38*1.4</f>
        <v>9.8</v>
      </c>
      <c r="H38" s="8">
        <f t="shared" si="12"/>
        <v>10</v>
      </c>
      <c r="I38" s="8">
        <v>8</v>
      </c>
      <c r="J38" s="8">
        <v>6</v>
      </c>
      <c r="K38" s="114">
        <v>1</v>
      </c>
      <c r="L38" s="8">
        <v>125</v>
      </c>
      <c r="M38" s="8">
        <f>L38*1.18</f>
        <v>147.5</v>
      </c>
      <c r="N38" s="8">
        <f t="shared" si="13"/>
        <v>148</v>
      </c>
      <c r="O38" s="114">
        <f>VLOOKUP(B:B,[3]Sheet6!$G$1:$H$65536,2,0)</f>
        <v>7</v>
      </c>
      <c r="P38" s="114">
        <f>VLOOKUP(B:B,'10月'!B:S,18,0)</f>
        <v>3</v>
      </c>
      <c r="Q38" s="114">
        <f t="shared" si="14"/>
        <v>-4</v>
      </c>
      <c r="R38" s="12">
        <f>O38</f>
        <v>7</v>
      </c>
      <c r="S38" s="122">
        <f>R38*1.4</f>
        <v>9.8</v>
      </c>
      <c r="T38" s="122">
        <f t="shared" si="15"/>
        <v>10</v>
      </c>
      <c r="U38">
        <v>1515.2</v>
      </c>
      <c r="V38">
        <f>U38*1.5</f>
        <v>2272.8</v>
      </c>
      <c r="Z38">
        <f t="shared" si="16"/>
        <v>1972.8</v>
      </c>
      <c r="AA38">
        <f t="shared" si="17"/>
        <v>357.6</v>
      </c>
      <c r="AB38">
        <f t="shared" si="10"/>
        <v>1872.8</v>
      </c>
    </row>
    <row r="39" spans="1:28">
      <c r="A39" s="2">
        <v>37</v>
      </c>
      <c r="B39" s="2">
        <v>377</v>
      </c>
      <c r="C39" s="110" t="s">
        <v>137</v>
      </c>
      <c r="D39" s="2" t="s">
        <v>104</v>
      </c>
      <c r="E39" s="2" t="s">
        <v>127</v>
      </c>
      <c r="F39" s="8">
        <v>14</v>
      </c>
      <c r="G39" s="8">
        <f>F39*1.3</f>
        <v>18.2</v>
      </c>
      <c r="H39" s="8">
        <f t="shared" si="12"/>
        <v>18</v>
      </c>
      <c r="I39" s="8">
        <v>7</v>
      </c>
      <c r="J39" s="8">
        <v>17</v>
      </c>
      <c r="K39" s="114">
        <v>-3</v>
      </c>
      <c r="L39" s="8">
        <v>220</v>
      </c>
      <c r="M39" s="8">
        <f>L39*1.09</f>
        <v>239.8</v>
      </c>
      <c r="N39" s="8">
        <f t="shared" si="13"/>
        <v>240</v>
      </c>
      <c r="O39" s="114">
        <f>VLOOKUP(B:B,[3]Sheet6!$G$1:$H$65536,2,0)</f>
        <v>7</v>
      </c>
      <c r="P39" s="114">
        <f>VLOOKUP(B:B,'10月'!B:S,18,0)</f>
        <v>9</v>
      </c>
      <c r="Q39" s="114">
        <f t="shared" si="14"/>
        <v>2</v>
      </c>
      <c r="R39" s="12">
        <v>9</v>
      </c>
      <c r="S39" s="122">
        <f>R39*1.4</f>
        <v>12.6</v>
      </c>
      <c r="T39" s="122">
        <f t="shared" si="15"/>
        <v>13</v>
      </c>
      <c r="U39">
        <v>3125.01</v>
      </c>
      <c r="V39">
        <f>U39*1.3</f>
        <v>4062.513</v>
      </c>
      <c r="Z39">
        <f t="shared" si="16"/>
        <v>3762.51</v>
      </c>
      <c r="AA39">
        <f t="shared" si="17"/>
        <v>537.5</v>
      </c>
      <c r="AB39">
        <f t="shared" si="10"/>
        <v>3662.51</v>
      </c>
    </row>
    <row r="40" spans="1:28">
      <c r="A40" s="2">
        <v>38</v>
      </c>
      <c r="B40" s="2">
        <v>743</v>
      </c>
      <c r="C40" s="110" t="s">
        <v>138</v>
      </c>
      <c r="D40" s="2" t="s">
        <v>139</v>
      </c>
      <c r="E40" s="2" t="s">
        <v>127</v>
      </c>
      <c r="F40" s="8">
        <v>9</v>
      </c>
      <c r="G40" s="8">
        <f>F40*1.4</f>
        <v>12.6</v>
      </c>
      <c r="H40" s="8">
        <f t="shared" si="12"/>
        <v>13</v>
      </c>
      <c r="I40" s="8">
        <v>10</v>
      </c>
      <c r="J40" s="8">
        <v>6</v>
      </c>
      <c r="K40" s="114">
        <v>3</v>
      </c>
      <c r="L40" s="8">
        <v>110</v>
      </c>
      <c r="M40" s="8">
        <f>L40*1.18</f>
        <v>129.8</v>
      </c>
      <c r="N40" s="8">
        <f t="shared" si="13"/>
        <v>130</v>
      </c>
      <c r="O40" s="114">
        <f>VLOOKUP(B:B,[3]Sheet6!$G$1:$H$65536,2,0)</f>
        <v>7</v>
      </c>
      <c r="P40" s="114">
        <f>VLOOKUP(B:B,'10月'!B:S,18,0)</f>
        <v>2</v>
      </c>
      <c r="Q40" s="114">
        <f t="shared" si="14"/>
        <v>-5</v>
      </c>
      <c r="R40" s="12">
        <f>O40</f>
        <v>7</v>
      </c>
      <c r="S40" s="122">
        <f>R40*1.4</f>
        <v>9.8</v>
      </c>
      <c r="T40" s="122">
        <f t="shared" si="15"/>
        <v>10</v>
      </c>
      <c r="U40">
        <v>3147.02</v>
      </c>
      <c r="V40">
        <f>U40*1.3</f>
        <v>4091.126</v>
      </c>
      <c r="Z40">
        <f t="shared" si="16"/>
        <v>3791.13</v>
      </c>
      <c r="AA40">
        <f t="shared" si="17"/>
        <v>544.11</v>
      </c>
      <c r="AB40">
        <f t="shared" si="10"/>
        <v>3691.13</v>
      </c>
    </row>
    <row r="41" spans="1:28">
      <c r="A41" s="2">
        <v>39</v>
      </c>
      <c r="B41" s="2">
        <v>584</v>
      </c>
      <c r="C41" s="110" t="s">
        <v>140</v>
      </c>
      <c r="D41" s="2" t="s">
        <v>139</v>
      </c>
      <c r="E41" s="2" t="s">
        <v>127</v>
      </c>
      <c r="F41" s="8">
        <v>4</v>
      </c>
      <c r="G41" s="8">
        <f>F41*1.4</f>
        <v>5.6</v>
      </c>
      <c r="H41" s="8">
        <f t="shared" si="12"/>
        <v>6</v>
      </c>
      <c r="I41" s="8" t="e">
        <v>#N/A</v>
      </c>
      <c r="J41" s="8">
        <v>6</v>
      </c>
      <c r="K41" s="114">
        <v>-2</v>
      </c>
      <c r="L41" s="8">
        <v>74</v>
      </c>
      <c r="M41" s="91">
        <f>L41*1.3</f>
        <v>96.2</v>
      </c>
      <c r="N41" s="8">
        <f t="shared" si="13"/>
        <v>96</v>
      </c>
      <c r="O41" s="114">
        <f>VLOOKUP(B:B,[3]Sheet6!$G$1:$H$65536,2,0)</f>
        <v>2</v>
      </c>
      <c r="P41" s="114">
        <f>VLOOKUP(B:B,'10月'!B:S,18,0)</f>
        <v>11</v>
      </c>
      <c r="Q41" s="114">
        <f t="shared" si="14"/>
        <v>9</v>
      </c>
      <c r="R41" s="12">
        <v>9</v>
      </c>
      <c r="S41" s="122">
        <f>R41*1.4</f>
        <v>12.6</v>
      </c>
      <c r="T41" s="122">
        <f t="shared" si="15"/>
        <v>13</v>
      </c>
      <c r="U41">
        <v>2171.75</v>
      </c>
      <c r="V41">
        <f>U41*1.4</f>
        <v>3040.45</v>
      </c>
      <c r="Z41">
        <f t="shared" si="16"/>
        <v>2740.45</v>
      </c>
      <c r="AA41">
        <f t="shared" si="17"/>
        <v>468.7</v>
      </c>
      <c r="AB41">
        <f t="shared" si="10"/>
        <v>2640.45</v>
      </c>
    </row>
    <row r="42" spans="1:28">
      <c r="A42" s="2">
        <v>40</v>
      </c>
      <c r="B42" s="2">
        <v>737</v>
      </c>
      <c r="C42" s="110" t="s">
        <v>141</v>
      </c>
      <c r="D42" s="2" t="s">
        <v>107</v>
      </c>
      <c r="E42" s="2" t="s">
        <v>127</v>
      </c>
      <c r="F42" s="8">
        <v>10</v>
      </c>
      <c r="G42" s="8">
        <f>F42*1.3</f>
        <v>13</v>
      </c>
      <c r="H42" s="8">
        <f t="shared" si="12"/>
        <v>13</v>
      </c>
      <c r="I42" s="8">
        <v>3</v>
      </c>
      <c r="J42" s="8">
        <v>17</v>
      </c>
      <c r="K42" s="114">
        <v>-7</v>
      </c>
      <c r="L42" s="8">
        <v>179</v>
      </c>
      <c r="M42" s="8">
        <f>L42*1.13</f>
        <v>202.27</v>
      </c>
      <c r="N42" s="8">
        <f t="shared" si="13"/>
        <v>202</v>
      </c>
      <c r="O42" s="114">
        <f>VLOOKUP(B:B,[3]Sheet6!$G$1:$H$65536,2,0)</f>
        <v>13</v>
      </c>
      <c r="P42" s="114">
        <f>VLOOKUP(B:B,'10月'!B:S,18,0)</f>
        <v>12</v>
      </c>
      <c r="Q42" s="114">
        <f t="shared" si="14"/>
        <v>-1</v>
      </c>
      <c r="R42" s="12">
        <f>O42</f>
        <v>13</v>
      </c>
      <c r="S42" s="122">
        <f>R42*1.2</f>
        <v>15.6</v>
      </c>
      <c r="T42" s="122">
        <f t="shared" si="15"/>
        <v>16</v>
      </c>
      <c r="U42">
        <v>3054.72</v>
      </c>
      <c r="V42">
        <f>U42*1.3</f>
        <v>3971.136</v>
      </c>
      <c r="Z42">
        <f t="shared" si="16"/>
        <v>3671.14</v>
      </c>
      <c r="AA42">
        <f t="shared" si="17"/>
        <v>516.42</v>
      </c>
      <c r="AB42">
        <f t="shared" si="10"/>
        <v>3571.14</v>
      </c>
    </row>
    <row r="43" spans="1:28">
      <c r="A43" s="2">
        <v>41</v>
      </c>
      <c r="B43" s="2">
        <v>733</v>
      </c>
      <c r="C43" s="110" t="s">
        <v>142</v>
      </c>
      <c r="D43" s="2" t="s">
        <v>139</v>
      </c>
      <c r="E43" s="2" t="s">
        <v>127</v>
      </c>
      <c r="F43" s="8">
        <v>6</v>
      </c>
      <c r="G43" s="8">
        <f>F43*1.4</f>
        <v>8.4</v>
      </c>
      <c r="H43" s="8">
        <f t="shared" si="12"/>
        <v>8</v>
      </c>
      <c r="I43" s="8">
        <v>5</v>
      </c>
      <c r="J43" s="8">
        <v>6</v>
      </c>
      <c r="K43" s="114">
        <v>0</v>
      </c>
      <c r="L43" s="8">
        <v>51</v>
      </c>
      <c r="M43" s="91">
        <f>L43*1.3</f>
        <v>66.3</v>
      </c>
      <c r="N43" s="8">
        <f t="shared" si="13"/>
        <v>66</v>
      </c>
      <c r="O43" s="114">
        <f>VLOOKUP(B:B,[3]Sheet6!$G$1:$H$65536,2,0)</f>
        <v>12</v>
      </c>
      <c r="P43" s="114">
        <f>VLOOKUP(B:B,'10月'!B:S,18,0)</f>
        <v>3</v>
      </c>
      <c r="Q43" s="114">
        <f t="shared" si="14"/>
        <v>-9</v>
      </c>
      <c r="R43" s="12">
        <v>8</v>
      </c>
      <c r="S43" s="122">
        <f t="shared" ref="S43:S48" si="18">R43*1.4</f>
        <v>11.2</v>
      </c>
      <c r="T43" s="122">
        <f t="shared" si="15"/>
        <v>11</v>
      </c>
      <c r="U43">
        <v>408.91</v>
      </c>
      <c r="V43">
        <f>U43*1.6</f>
        <v>654.256</v>
      </c>
      <c r="Z43">
        <f>ROUND(V43-100,2)</f>
        <v>554.26</v>
      </c>
      <c r="AA43">
        <f t="shared" si="17"/>
        <v>145.35</v>
      </c>
      <c r="AB43">
        <f>Z43</f>
        <v>554.26</v>
      </c>
    </row>
    <row r="44" spans="1:28">
      <c r="A44" s="2">
        <v>42</v>
      </c>
      <c r="B44" s="2">
        <v>740</v>
      </c>
      <c r="C44" s="110" t="s">
        <v>143</v>
      </c>
      <c r="D44" s="2" t="s">
        <v>113</v>
      </c>
      <c r="E44" s="2" t="s">
        <v>127</v>
      </c>
      <c r="F44" s="8">
        <v>6</v>
      </c>
      <c r="G44" s="8">
        <f>F44*1.4</f>
        <v>8.4</v>
      </c>
      <c r="H44" s="8">
        <f t="shared" si="12"/>
        <v>8</v>
      </c>
      <c r="I44" s="8">
        <v>4</v>
      </c>
      <c r="J44" s="8">
        <v>6</v>
      </c>
      <c r="K44" s="114">
        <v>0</v>
      </c>
      <c r="L44" s="8">
        <v>75</v>
      </c>
      <c r="M44" s="91">
        <f>L44*1.3</f>
        <v>97.5</v>
      </c>
      <c r="N44" s="8">
        <f t="shared" si="13"/>
        <v>98</v>
      </c>
      <c r="O44" s="114">
        <f>VLOOKUP(B:B,[3]Sheet6!$G$1:$H$65536,2,0)</f>
        <v>4</v>
      </c>
      <c r="P44" s="114">
        <f>VLOOKUP(B:B,'10月'!B:S,18,0)</f>
        <v>3</v>
      </c>
      <c r="Q44" s="114">
        <f t="shared" si="14"/>
        <v>-1</v>
      </c>
      <c r="R44" s="12">
        <f>O44</f>
        <v>4</v>
      </c>
      <c r="S44" s="122">
        <f t="shared" si="18"/>
        <v>5.6</v>
      </c>
      <c r="T44" s="122">
        <f t="shared" si="15"/>
        <v>6</v>
      </c>
      <c r="U44">
        <v>5507.06</v>
      </c>
      <c r="V44">
        <f>U44*1.2</f>
        <v>6608.472</v>
      </c>
      <c r="Z44">
        <f>ROUND(V44-400,2)</f>
        <v>6208.47</v>
      </c>
      <c r="AA44">
        <f t="shared" si="17"/>
        <v>601.41</v>
      </c>
      <c r="AB44">
        <f>Z44-100</f>
        <v>6108.47</v>
      </c>
    </row>
    <row r="45" spans="1:28">
      <c r="A45" s="2">
        <v>43</v>
      </c>
      <c r="B45" s="2">
        <v>545</v>
      </c>
      <c r="C45" s="110" t="s">
        <v>144</v>
      </c>
      <c r="D45" s="2" t="s">
        <v>113</v>
      </c>
      <c r="E45" s="2" t="s">
        <v>127</v>
      </c>
      <c r="F45" s="8">
        <v>12</v>
      </c>
      <c r="G45" s="8">
        <f>F45*1.3</f>
        <v>15.6</v>
      </c>
      <c r="H45" s="8">
        <f t="shared" si="12"/>
        <v>16</v>
      </c>
      <c r="I45" s="8">
        <v>22</v>
      </c>
      <c r="J45" s="8">
        <v>6</v>
      </c>
      <c r="K45" s="114">
        <v>6</v>
      </c>
      <c r="L45" s="8">
        <v>101</v>
      </c>
      <c r="M45" s="8">
        <f>L45*1.18</f>
        <v>119.18</v>
      </c>
      <c r="N45" s="8">
        <f t="shared" si="13"/>
        <v>119</v>
      </c>
      <c r="O45" s="114">
        <f>VLOOKUP(B:B,[3]Sheet6!$G$1:$H$65536,2,0)</f>
        <v>2</v>
      </c>
      <c r="P45" s="114">
        <f>VLOOKUP(B:B,'10月'!B:S,18,0)</f>
        <v>5</v>
      </c>
      <c r="Q45" s="114">
        <f t="shared" si="14"/>
        <v>3</v>
      </c>
      <c r="R45" s="12">
        <v>5</v>
      </c>
      <c r="S45" s="122">
        <f t="shared" si="18"/>
        <v>7</v>
      </c>
      <c r="T45" s="122">
        <f t="shared" si="15"/>
        <v>7</v>
      </c>
      <c r="U45">
        <v>2822</v>
      </c>
      <c r="V45">
        <f>U45*1.4</f>
        <v>3950.8</v>
      </c>
      <c r="Z45">
        <f>ROUND(V45-400,2)</f>
        <v>3550.8</v>
      </c>
      <c r="AA45">
        <f t="shared" si="17"/>
        <v>628.8</v>
      </c>
      <c r="AB45">
        <f>Z45-100</f>
        <v>3450.8</v>
      </c>
    </row>
    <row r="46" spans="1:28">
      <c r="A46" s="2">
        <v>44</v>
      </c>
      <c r="B46" s="90">
        <v>753</v>
      </c>
      <c r="C46" s="111" t="s">
        <v>145</v>
      </c>
      <c r="D46" s="90" t="s">
        <v>113</v>
      </c>
      <c r="E46" s="90" t="s">
        <v>127</v>
      </c>
      <c r="F46" s="8">
        <v>4</v>
      </c>
      <c r="G46" s="8">
        <f>F46*1.4</f>
        <v>5.6</v>
      </c>
      <c r="H46" s="8">
        <f t="shared" si="12"/>
        <v>6</v>
      </c>
      <c r="I46" s="8" t="e">
        <v>#N/A</v>
      </c>
      <c r="J46" s="8">
        <v>6</v>
      </c>
      <c r="K46" s="114">
        <v>-2</v>
      </c>
      <c r="L46" s="8">
        <v>40</v>
      </c>
      <c r="M46" s="91">
        <f>L46*1.3</f>
        <v>52</v>
      </c>
      <c r="N46" s="8">
        <f t="shared" si="13"/>
        <v>52</v>
      </c>
      <c r="O46" s="114" t="e">
        <f>VLOOKUP(B:B,[3]Sheet6!$G$1:$H$65536,2,0)</f>
        <v>#N/A</v>
      </c>
      <c r="P46" s="114">
        <f>VLOOKUP(B:B,'10月'!B:S,18,0)</f>
        <v>2</v>
      </c>
      <c r="Q46" s="114" t="e">
        <f t="shared" si="14"/>
        <v>#N/A</v>
      </c>
      <c r="R46" s="12">
        <v>4</v>
      </c>
      <c r="S46" s="122">
        <f t="shared" si="18"/>
        <v>5.6</v>
      </c>
      <c r="T46" s="122">
        <f t="shared" si="15"/>
        <v>6</v>
      </c>
      <c r="U46">
        <v>1181.5</v>
      </c>
      <c r="V46">
        <f>U46*1.5</f>
        <v>1772.25</v>
      </c>
      <c r="W46">
        <f>VLOOKUP(B:B,[3]Sheet10!$G$1:$H$65536,2,0)</f>
        <v>397.2</v>
      </c>
      <c r="X46">
        <f>VLOOKUP(B:B,'10月'!B:AB,27,0)</f>
        <v>999.3</v>
      </c>
      <c r="Y46">
        <f>X46-W46</f>
        <v>602.1</v>
      </c>
      <c r="Z46">
        <f t="shared" si="16"/>
        <v>1472.25</v>
      </c>
      <c r="AA46">
        <f t="shared" si="17"/>
        <v>290.75</v>
      </c>
      <c r="AB46">
        <f>Z46</f>
        <v>1472.25</v>
      </c>
    </row>
    <row r="47" spans="1:28">
      <c r="A47" s="2">
        <v>45</v>
      </c>
      <c r="B47" s="101">
        <v>103639</v>
      </c>
      <c r="C47" s="111" t="s">
        <v>146</v>
      </c>
      <c r="D47" s="2" t="s">
        <v>109</v>
      </c>
      <c r="E47" s="2" t="s">
        <v>127</v>
      </c>
      <c r="F47" s="8">
        <v>10</v>
      </c>
      <c r="G47" s="8">
        <f>F47*1.3</f>
        <v>13</v>
      </c>
      <c r="H47" s="8">
        <f t="shared" si="12"/>
        <v>13</v>
      </c>
      <c r="I47" s="8">
        <v>12</v>
      </c>
      <c r="J47" s="8">
        <v>6</v>
      </c>
      <c r="K47" s="114">
        <v>4</v>
      </c>
      <c r="L47" s="8">
        <v>74</v>
      </c>
      <c r="M47" s="91">
        <f>L47*1.3</f>
        <v>96.2</v>
      </c>
      <c r="N47" s="8">
        <f t="shared" si="13"/>
        <v>96</v>
      </c>
      <c r="O47" s="114">
        <f>VLOOKUP(B:B,[3]Sheet6!$G$1:$H$65536,2,0)</f>
        <v>1</v>
      </c>
      <c r="P47" s="114">
        <f>VLOOKUP(B:B,'10月'!B:S,18,0)</f>
        <v>3</v>
      </c>
      <c r="Q47" s="114">
        <f t="shared" si="14"/>
        <v>2</v>
      </c>
      <c r="R47" s="12">
        <v>3</v>
      </c>
      <c r="S47" s="122">
        <f t="shared" si="18"/>
        <v>4.2</v>
      </c>
      <c r="T47" s="122">
        <f t="shared" si="15"/>
        <v>4</v>
      </c>
      <c r="U47">
        <v>1219</v>
      </c>
      <c r="V47">
        <f>U47*1.5</f>
        <v>1828.5</v>
      </c>
      <c r="W47">
        <f>VLOOKUP(B:B,[3]Sheet10!$G$1:$H$65536,2,0)</f>
        <v>334.6</v>
      </c>
      <c r="X47">
        <f>VLOOKUP(B:B,'10月'!B:AB,27,0)</f>
        <v>1219</v>
      </c>
      <c r="Y47">
        <f>X47-W47</f>
        <v>884.4</v>
      </c>
      <c r="Z47">
        <f t="shared" si="16"/>
        <v>1528.5</v>
      </c>
      <c r="AA47">
        <f t="shared" si="17"/>
        <v>209.5</v>
      </c>
      <c r="AB47">
        <f>Z47-100</f>
        <v>1428.5</v>
      </c>
    </row>
    <row r="48" spans="1:28">
      <c r="A48" s="2">
        <v>46</v>
      </c>
      <c r="B48" s="101">
        <v>104430</v>
      </c>
      <c r="C48" s="112" t="s">
        <v>147</v>
      </c>
      <c r="D48" s="113"/>
      <c r="E48" s="101" t="str">
        <f>VLOOKUP(B:B,[2]查询时间段分门店销售汇总!$D$1:$H$65536,5,0)</f>
        <v>东南片区</v>
      </c>
      <c r="F48" s="8">
        <v>4</v>
      </c>
      <c r="G48" s="8">
        <f>F48*1.4</f>
        <v>5.6</v>
      </c>
      <c r="H48" s="8">
        <f t="shared" si="12"/>
        <v>6</v>
      </c>
      <c r="I48" s="8" t="e">
        <v>#N/A</v>
      </c>
      <c r="J48" s="8" t="e">
        <v>#N/A</v>
      </c>
      <c r="K48" s="114" t="e">
        <v>#N/A</v>
      </c>
      <c r="L48" s="8">
        <v>40</v>
      </c>
      <c r="M48" s="91">
        <f>L48*1.3</f>
        <v>52</v>
      </c>
      <c r="N48" s="8">
        <f t="shared" si="13"/>
        <v>52</v>
      </c>
      <c r="O48" s="114" t="e">
        <f>VLOOKUP(B:B,[3]Sheet6!$G$1:$H$65536,2,0)</f>
        <v>#N/A</v>
      </c>
      <c r="P48" s="114" t="e">
        <f>VLOOKUP(B:B,'10月'!B:S,18,0)</f>
        <v>#N/A</v>
      </c>
      <c r="Q48" s="114" t="e">
        <f t="shared" si="14"/>
        <v>#N/A</v>
      </c>
      <c r="R48" s="12">
        <v>4</v>
      </c>
      <c r="S48" s="122">
        <f t="shared" si="18"/>
        <v>5.6</v>
      </c>
      <c r="T48" s="122">
        <f t="shared" si="15"/>
        <v>6</v>
      </c>
      <c r="U48">
        <v>800</v>
      </c>
      <c r="V48">
        <f>U48*1.6</f>
        <v>1280</v>
      </c>
      <c r="W48" t="e">
        <f>VLOOKUP(B:B,[3]Sheet10!$G$1:$H$65536,2,0)</f>
        <v>#N/A</v>
      </c>
      <c r="X48" t="e">
        <f>VLOOKUP(B:B,'10月'!B:AB,27,0)</f>
        <v>#N/A</v>
      </c>
      <c r="Y48" t="e">
        <f>X48-W48</f>
        <v>#N/A</v>
      </c>
      <c r="Z48">
        <f t="shared" si="16"/>
        <v>980</v>
      </c>
      <c r="AA48">
        <f t="shared" si="17"/>
        <v>180</v>
      </c>
      <c r="AB48">
        <f>Z48</f>
        <v>980</v>
      </c>
    </row>
    <row r="49" spans="1:28">
      <c r="A49" s="2">
        <v>47</v>
      </c>
      <c r="B49" s="2">
        <v>578</v>
      </c>
      <c r="C49" s="110" t="s">
        <v>148</v>
      </c>
      <c r="D49" s="2" t="s">
        <v>95</v>
      </c>
      <c r="E49" s="2" t="s">
        <v>149</v>
      </c>
      <c r="F49" s="8">
        <v>22</v>
      </c>
      <c r="G49" s="8">
        <f>F49*1.2</f>
        <v>26.4</v>
      </c>
      <c r="H49" s="8">
        <f t="shared" si="12"/>
        <v>26</v>
      </c>
      <c r="I49" s="8">
        <v>22</v>
      </c>
      <c r="J49" s="8">
        <v>17</v>
      </c>
      <c r="K49" s="114">
        <v>5</v>
      </c>
      <c r="L49" s="8">
        <v>101</v>
      </c>
      <c r="M49" s="8">
        <f>L49*1.18</f>
        <v>119.18</v>
      </c>
      <c r="N49" s="8">
        <f t="shared" si="13"/>
        <v>119</v>
      </c>
      <c r="O49" s="114">
        <f>VLOOKUP(B:B,[3]Sheet6!$G$1:$H$65536,2,0)</f>
        <v>18</v>
      </c>
      <c r="P49" s="114">
        <f>VLOOKUP(B:B,'10月'!B:S,18,0)</f>
        <v>6</v>
      </c>
      <c r="Q49" s="114">
        <f t="shared" si="14"/>
        <v>-12</v>
      </c>
      <c r="R49" s="12">
        <v>16</v>
      </c>
      <c r="S49" s="122">
        <f>R49*1.2</f>
        <v>19.2</v>
      </c>
      <c r="T49" s="122">
        <f t="shared" si="15"/>
        <v>19</v>
      </c>
      <c r="U49">
        <v>1237</v>
      </c>
      <c r="V49">
        <f>U49*1.5</f>
        <v>1855.5</v>
      </c>
      <c r="Z49">
        <f t="shared" si="16"/>
        <v>1555.5</v>
      </c>
      <c r="AA49">
        <f t="shared" si="17"/>
        <v>218.5</v>
      </c>
      <c r="AB49">
        <f t="shared" ref="AB49:AB61" si="19">Z49-100</f>
        <v>1455.5</v>
      </c>
    </row>
    <row r="50" spans="1:28">
      <c r="A50" s="2">
        <v>48</v>
      </c>
      <c r="B50" s="2">
        <v>373</v>
      </c>
      <c r="C50" s="110" t="s">
        <v>150</v>
      </c>
      <c r="D50" s="2" t="s">
        <v>104</v>
      </c>
      <c r="E50" s="2" t="s">
        <v>149</v>
      </c>
      <c r="F50" s="8">
        <v>34</v>
      </c>
      <c r="G50" s="8">
        <f>F50*1.2</f>
        <v>40.8</v>
      </c>
      <c r="H50" s="8">
        <f t="shared" si="12"/>
        <v>41</v>
      </c>
      <c r="I50" s="8">
        <v>58</v>
      </c>
      <c r="J50" s="8">
        <v>17</v>
      </c>
      <c r="K50" s="114">
        <v>17</v>
      </c>
      <c r="L50" s="8">
        <v>123</v>
      </c>
      <c r="M50" s="8">
        <f>L50*1.18</f>
        <v>145.14</v>
      </c>
      <c r="N50" s="8">
        <f t="shared" si="13"/>
        <v>145</v>
      </c>
      <c r="O50" s="114">
        <f>VLOOKUP(B:B,[3]Sheet6!$G$1:$H$65536,2,0)</f>
        <v>13</v>
      </c>
      <c r="P50" s="114">
        <f>VLOOKUP(B:B,'10月'!B:S,18,0)</f>
        <v>14</v>
      </c>
      <c r="Q50" s="114">
        <f t="shared" si="14"/>
        <v>1</v>
      </c>
      <c r="R50" s="12">
        <v>14</v>
      </c>
      <c r="S50" s="122">
        <f>R50*1.2</f>
        <v>16.8</v>
      </c>
      <c r="T50" s="122">
        <f t="shared" si="15"/>
        <v>17</v>
      </c>
      <c r="U50">
        <v>4496.54</v>
      </c>
      <c r="V50">
        <f>U50*1.3</f>
        <v>5845.502</v>
      </c>
      <c r="Z50">
        <f>ROUND(V50-500,2)</f>
        <v>5345.5</v>
      </c>
      <c r="AA50">
        <f t="shared" si="17"/>
        <v>748.96</v>
      </c>
      <c r="AB50">
        <f t="shared" si="19"/>
        <v>5245.5</v>
      </c>
    </row>
    <row r="51" spans="1:28">
      <c r="A51" s="2">
        <v>49</v>
      </c>
      <c r="B51" s="2">
        <v>515</v>
      </c>
      <c r="C51" s="110" t="s">
        <v>151</v>
      </c>
      <c r="D51" s="2" t="s">
        <v>104</v>
      </c>
      <c r="E51" s="2" t="s">
        <v>149</v>
      </c>
      <c r="F51" s="8">
        <v>18</v>
      </c>
      <c r="G51" s="8">
        <f>F51*1.3</f>
        <v>23.4</v>
      </c>
      <c r="H51" s="8">
        <f t="shared" si="12"/>
        <v>23</v>
      </c>
      <c r="I51" s="8">
        <v>18</v>
      </c>
      <c r="J51" s="8">
        <v>17</v>
      </c>
      <c r="K51" s="114">
        <v>1</v>
      </c>
      <c r="L51" s="8">
        <v>180</v>
      </c>
      <c r="M51" s="8">
        <f>L51*1.13</f>
        <v>203.4</v>
      </c>
      <c r="N51" s="8">
        <f t="shared" si="13"/>
        <v>203</v>
      </c>
      <c r="O51" s="114">
        <f>VLOOKUP(B:B,[3]Sheet6!$G$1:$H$65536,2,0)</f>
        <v>8</v>
      </c>
      <c r="P51" s="114">
        <f>VLOOKUP(B:B,'10月'!B:S,18,0)</f>
        <v>6</v>
      </c>
      <c r="Q51" s="114">
        <f t="shared" si="14"/>
        <v>-2</v>
      </c>
      <c r="R51" s="12">
        <f>O51</f>
        <v>8</v>
      </c>
      <c r="S51" s="122">
        <f>R51*1.4</f>
        <v>11.2</v>
      </c>
      <c r="T51" s="122">
        <f t="shared" si="15"/>
        <v>11</v>
      </c>
      <c r="U51">
        <v>4015.05</v>
      </c>
      <c r="V51">
        <f>U51*1.3</f>
        <v>5219.565</v>
      </c>
      <c r="Z51">
        <f>ROUND(V51-500,2)</f>
        <v>4719.57</v>
      </c>
      <c r="AA51">
        <f t="shared" si="17"/>
        <v>604.52</v>
      </c>
      <c r="AB51">
        <f t="shared" si="19"/>
        <v>4619.57</v>
      </c>
    </row>
    <row r="52" spans="1:28">
      <c r="A52" s="2">
        <v>50</v>
      </c>
      <c r="B52" s="2">
        <v>308</v>
      </c>
      <c r="C52" s="110" t="s">
        <v>152</v>
      </c>
      <c r="D52" s="2" t="s">
        <v>95</v>
      </c>
      <c r="E52" s="2" t="s">
        <v>149</v>
      </c>
      <c r="F52" s="8">
        <v>22</v>
      </c>
      <c r="G52" s="8">
        <f>F52*1.2</f>
        <v>26.4</v>
      </c>
      <c r="H52" s="8">
        <f t="shared" si="12"/>
        <v>26</v>
      </c>
      <c r="I52" s="8">
        <v>17</v>
      </c>
      <c r="J52" s="8">
        <v>27</v>
      </c>
      <c r="K52" s="114">
        <v>-5</v>
      </c>
      <c r="L52" s="8">
        <v>105</v>
      </c>
      <c r="M52" s="8">
        <f>L52*1.18</f>
        <v>123.9</v>
      </c>
      <c r="N52" s="8">
        <f t="shared" si="13"/>
        <v>124</v>
      </c>
      <c r="O52" s="114">
        <f>VLOOKUP(B:B,[3]Sheet6!$G$1:$H$65536,2,0)</f>
        <v>4</v>
      </c>
      <c r="P52" s="114">
        <f>VLOOKUP(B:B,'10月'!B:S,18,0)</f>
        <v>7</v>
      </c>
      <c r="Q52" s="114">
        <f t="shared" si="14"/>
        <v>3</v>
      </c>
      <c r="R52" s="12">
        <v>7</v>
      </c>
      <c r="S52" s="122">
        <f>R52*1.4</f>
        <v>9.8</v>
      </c>
      <c r="T52" s="122">
        <f t="shared" si="15"/>
        <v>10</v>
      </c>
      <c r="U52">
        <v>5601.55</v>
      </c>
      <c r="V52">
        <f>U52*1.2</f>
        <v>6721.86</v>
      </c>
      <c r="Z52">
        <f>ROUND(V52-400,2)</f>
        <v>6321.86</v>
      </c>
      <c r="AA52">
        <f t="shared" si="17"/>
        <v>620.309999999999</v>
      </c>
      <c r="AB52">
        <f t="shared" si="19"/>
        <v>6221.86</v>
      </c>
    </row>
    <row r="53" spans="1:28">
      <c r="A53" s="2">
        <v>51</v>
      </c>
      <c r="B53" s="2">
        <v>517</v>
      </c>
      <c r="C53" s="110" t="s">
        <v>153</v>
      </c>
      <c r="D53" s="2" t="s">
        <v>92</v>
      </c>
      <c r="E53" s="2" t="s">
        <v>149</v>
      </c>
      <c r="F53" s="8">
        <v>22</v>
      </c>
      <c r="G53" s="8">
        <f>F53*1.2</f>
        <v>26.4</v>
      </c>
      <c r="H53" s="8">
        <f t="shared" si="12"/>
        <v>26</v>
      </c>
      <c r="I53" s="8">
        <v>2</v>
      </c>
      <c r="J53" s="8">
        <v>27</v>
      </c>
      <c r="K53" s="114">
        <v>-5</v>
      </c>
      <c r="L53" s="8">
        <v>70</v>
      </c>
      <c r="M53" s="91">
        <f>L53*1.3</f>
        <v>91</v>
      </c>
      <c r="N53" s="8">
        <f t="shared" si="13"/>
        <v>91</v>
      </c>
      <c r="O53" s="114">
        <f>VLOOKUP(B:B,[3]Sheet6!$G$1:$H$65536,2,0)</f>
        <v>12</v>
      </c>
      <c r="P53" s="114">
        <f>VLOOKUP(B:B,'10月'!B:S,18,0)</f>
        <v>2</v>
      </c>
      <c r="Q53" s="114">
        <f t="shared" si="14"/>
        <v>-10</v>
      </c>
      <c r="R53" s="12">
        <v>11</v>
      </c>
      <c r="S53" s="122">
        <f>R53*1.2</f>
        <v>13.2</v>
      </c>
      <c r="T53" s="122">
        <f t="shared" si="15"/>
        <v>13</v>
      </c>
      <c r="U53">
        <v>2944.66</v>
      </c>
      <c r="V53">
        <f>U53*1.4</f>
        <v>4122.524</v>
      </c>
      <c r="Z53">
        <f>ROUND(V53-400,2)</f>
        <v>3722.52</v>
      </c>
      <c r="AA53">
        <f t="shared" si="17"/>
        <v>677.86</v>
      </c>
      <c r="AB53">
        <f t="shared" si="19"/>
        <v>3622.52</v>
      </c>
    </row>
    <row r="54" spans="1:28">
      <c r="A54" s="2">
        <v>52</v>
      </c>
      <c r="B54" s="2">
        <v>744</v>
      </c>
      <c r="C54" s="110" t="s">
        <v>154</v>
      </c>
      <c r="D54" s="2" t="s">
        <v>95</v>
      </c>
      <c r="E54" s="2" t="s">
        <v>149</v>
      </c>
      <c r="F54" s="8">
        <v>21</v>
      </c>
      <c r="G54" s="8">
        <f>F54*1.2</f>
        <v>25.2</v>
      </c>
      <c r="H54" s="8">
        <f t="shared" si="12"/>
        <v>25</v>
      </c>
      <c r="I54" s="8">
        <v>21</v>
      </c>
      <c r="J54" s="8">
        <v>20</v>
      </c>
      <c r="K54" s="114">
        <v>1</v>
      </c>
      <c r="L54" s="8">
        <v>85</v>
      </c>
      <c r="M54" s="91">
        <f>L54*1.3</f>
        <v>110.5</v>
      </c>
      <c r="N54" s="8">
        <f t="shared" si="13"/>
        <v>111</v>
      </c>
      <c r="O54" s="114">
        <f>VLOOKUP(B:B,[3]Sheet6!$G$1:$H$65536,2,0)</f>
        <v>10</v>
      </c>
      <c r="P54" s="114">
        <f>VLOOKUP(B:B,'10月'!B:S,18,0)</f>
        <v>7</v>
      </c>
      <c r="Q54" s="114">
        <f t="shared" si="14"/>
        <v>-3</v>
      </c>
      <c r="R54" s="12">
        <f>O54</f>
        <v>10</v>
      </c>
      <c r="S54" s="122">
        <f>R54*1.4</f>
        <v>14</v>
      </c>
      <c r="T54" s="122">
        <f t="shared" si="15"/>
        <v>14</v>
      </c>
      <c r="U54">
        <v>3030.55</v>
      </c>
      <c r="V54">
        <f>U54*1.3</f>
        <v>3939.715</v>
      </c>
      <c r="Z54">
        <f t="shared" si="16"/>
        <v>3639.72</v>
      </c>
      <c r="AA54">
        <f t="shared" si="17"/>
        <v>509.17</v>
      </c>
      <c r="AB54">
        <f t="shared" si="19"/>
        <v>3539.72</v>
      </c>
    </row>
    <row r="55" spans="1:28">
      <c r="A55" s="2">
        <v>53</v>
      </c>
      <c r="B55" s="2">
        <v>391</v>
      </c>
      <c r="C55" s="110" t="s">
        <v>155</v>
      </c>
      <c r="D55" s="2" t="s">
        <v>104</v>
      </c>
      <c r="E55" s="2" t="s">
        <v>149</v>
      </c>
      <c r="F55" s="8">
        <v>14</v>
      </c>
      <c r="G55" s="8">
        <f>F55*1.3</f>
        <v>18.2</v>
      </c>
      <c r="H55" s="8">
        <f t="shared" si="12"/>
        <v>18</v>
      </c>
      <c r="I55" s="8">
        <v>12</v>
      </c>
      <c r="J55" s="8">
        <v>17</v>
      </c>
      <c r="K55" s="114">
        <v>-3</v>
      </c>
      <c r="L55" s="8">
        <v>155</v>
      </c>
      <c r="M55" s="8">
        <f>L55*1.13</f>
        <v>175.15</v>
      </c>
      <c r="N55" s="8">
        <f t="shared" si="13"/>
        <v>175</v>
      </c>
      <c r="O55" s="114">
        <f>VLOOKUP(B:B,[3]Sheet6!$G$1:$H$65536,2,0)</f>
        <v>9</v>
      </c>
      <c r="P55" s="114">
        <f>VLOOKUP(B:B,'10月'!B:S,18,0)</f>
        <v>2</v>
      </c>
      <c r="Q55" s="114">
        <f t="shared" si="14"/>
        <v>-7</v>
      </c>
      <c r="R55" s="12">
        <v>7</v>
      </c>
      <c r="S55" s="122">
        <f>R55*1.4</f>
        <v>9.8</v>
      </c>
      <c r="T55" s="122">
        <f t="shared" si="15"/>
        <v>10</v>
      </c>
      <c r="U55">
        <v>2188.5</v>
      </c>
      <c r="V55">
        <f>U55*1.4</f>
        <v>3063.9</v>
      </c>
      <c r="Z55">
        <f t="shared" si="16"/>
        <v>2763.9</v>
      </c>
      <c r="AA55">
        <f t="shared" si="17"/>
        <v>475.4</v>
      </c>
      <c r="AB55">
        <f t="shared" si="19"/>
        <v>2663.9</v>
      </c>
    </row>
    <row r="56" spans="1:28">
      <c r="A56" s="2">
        <v>54</v>
      </c>
      <c r="B56" s="2">
        <v>355</v>
      </c>
      <c r="C56" s="110" t="s">
        <v>156</v>
      </c>
      <c r="D56" s="2" t="s">
        <v>95</v>
      </c>
      <c r="E56" s="2" t="s">
        <v>149</v>
      </c>
      <c r="F56" s="8">
        <v>15</v>
      </c>
      <c r="G56" s="8">
        <f>F56*1.3</f>
        <v>19.5</v>
      </c>
      <c r="H56" s="8">
        <f t="shared" si="12"/>
        <v>20</v>
      </c>
      <c r="I56" s="8">
        <v>4</v>
      </c>
      <c r="J56" s="8">
        <v>20</v>
      </c>
      <c r="K56" s="114">
        <v>-5</v>
      </c>
      <c r="L56" s="8">
        <v>145</v>
      </c>
      <c r="M56" s="8">
        <f>L56*1.18</f>
        <v>171.1</v>
      </c>
      <c r="N56" s="8">
        <f t="shared" si="13"/>
        <v>171</v>
      </c>
      <c r="O56" s="114">
        <f>VLOOKUP(B:B,[3]Sheet6!$G$1:$H$65536,2,0)</f>
        <v>7</v>
      </c>
      <c r="P56" s="114">
        <f>VLOOKUP(B:B,'10月'!B:S,18,0)</f>
        <v>8</v>
      </c>
      <c r="Q56" s="114">
        <f t="shared" si="14"/>
        <v>1</v>
      </c>
      <c r="R56" s="12">
        <v>8</v>
      </c>
      <c r="S56" s="122">
        <f>R56*1.4</f>
        <v>11.2</v>
      </c>
      <c r="T56" s="122">
        <f t="shared" si="15"/>
        <v>11</v>
      </c>
      <c r="U56">
        <v>3202.5</v>
      </c>
      <c r="V56">
        <f>U56*1.3</f>
        <v>4163.25</v>
      </c>
      <c r="Z56">
        <f t="shared" si="16"/>
        <v>3863.25</v>
      </c>
      <c r="AA56">
        <f t="shared" si="17"/>
        <v>560.75</v>
      </c>
      <c r="AB56">
        <f t="shared" si="19"/>
        <v>3763.25</v>
      </c>
    </row>
    <row r="57" spans="1:28">
      <c r="A57" s="2">
        <v>55</v>
      </c>
      <c r="B57" s="2">
        <v>349</v>
      </c>
      <c r="C57" s="110" t="s">
        <v>157</v>
      </c>
      <c r="D57" s="2" t="s">
        <v>104</v>
      </c>
      <c r="E57" s="2" t="s">
        <v>149</v>
      </c>
      <c r="F57" s="8">
        <v>24</v>
      </c>
      <c r="G57" s="8">
        <f>F57*1.2</f>
        <v>28.8</v>
      </c>
      <c r="H57" s="8">
        <f t="shared" si="12"/>
        <v>29</v>
      </c>
      <c r="I57" s="8">
        <v>33</v>
      </c>
      <c r="J57" s="8">
        <v>17</v>
      </c>
      <c r="K57" s="114">
        <v>7</v>
      </c>
      <c r="L57" s="8">
        <v>102</v>
      </c>
      <c r="M57" s="8">
        <f>L57*1.18</f>
        <v>120.36</v>
      </c>
      <c r="N57" s="8">
        <f t="shared" si="13"/>
        <v>120</v>
      </c>
      <c r="O57" s="114">
        <f>VLOOKUP(B:B,[3]Sheet6!$G$1:$H$65536,2,0)</f>
        <v>7</v>
      </c>
      <c r="P57" s="114">
        <f>VLOOKUP(B:B,'10月'!B:S,18,0)</f>
        <v>12</v>
      </c>
      <c r="Q57" s="114">
        <f t="shared" si="14"/>
        <v>5</v>
      </c>
      <c r="R57" s="12">
        <v>12</v>
      </c>
      <c r="S57" s="122">
        <f>R57*1.2</f>
        <v>14.4</v>
      </c>
      <c r="T57" s="122">
        <f t="shared" si="15"/>
        <v>14</v>
      </c>
      <c r="U57">
        <v>3466.52</v>
      </c>
      <c r="V57">
        <f>U57*1.3</f>
        <v>4506.476</v>
      </c>
      <c r="Z57">
        <f t="shared" si="16"/>
        <v>4206.48</v>
      </c>
      <c r="AA57">
        <f t="shared" si="17"/>
        <v>639.96</v>
      </c>
      <c r="AB57">
        <f t="shared" si="19"/>
        <v>4106.48</v>
      </c>
    </row>
    <row r="58" spans="1:28">
      <c r="A58" s="2">
        <v>56</v>
      </c>
      <c r="B58" s="2">
        <v>742</v>
      </c>
      <c r="C58" s="110" t="s">
        <v>158</v>
      </c>
      <c r="D58" s="2" t="s">
        <v>95</v>
      </c>
      <c r="E58" s="2" t="s">
        <v>149</v>
      </c>
      <c r="F58" s="8">
        <v>22</v>
      </c>
      <c r="G58" s="8">
        <f>F58*1.2</f>
        <v>26.4</v>
      </c>
      <c r="H58" s="8">
        <f t="shared" si="12"/>
        <v>26</v>
      </c>
      <c r="I58" s="8">
        <v>18</v>
      </c>
      <c r="J58" s="8">
        <v>27</v>
      </c>
      <c r="K58" s="114">
        <v>-5</v>
      </c>
      <c r="L58" s="8">
        <v>115</v>
      </c>
      <c r="M58" s="8">
        <f>L58*1.18</f>
        <v>135.7</v>
      </c>
      <c r="N58" s="8">
        <f t="shared" si="13"/>
        <v>136</v>
      </c>
      <c r="O58" s="114">
        <f>VLOOKUP(B:B,[3]Sheet6!$G$1:$H$65536,2,0)</f>
        <v>7</v>
      </c>
      <c r="P58" s="114">
        <f>VLOOKUP(B:B,'10月'!B:S,18,0)</f>
        <v>8</v>
      </c>
      <c r="Q58" s="114">
        <f t="shared" si="14"/>
        <v>1</v>
      </c>
      <c r="R58" s="12">
        <v>8</v>
      </c>
      <c r="S58" s="122">
        <f>R58*1.4</f>
        <v>11.2</v>
      </c>
      <c r="T58" s="122">
        <f t="shared" si="15"/>
        <v>11</v>
      </c>
      <c r="U58">
        <v>1357.5</v>
      </c>
      <c r="V58">
        <f>U58*1.5</f>
        <v>2036.25</v>
      </c>
      <c r="Z58">
        <f t="shared" si="16"/>
        <v>1736.25</v>
      </c>
      <c r="AA58">
        <f t="shared" si="17"/>
        <v>278.75</v>
      </c>
      <c r="AB58">
        <f t="shared" si="19"/>
        <v>1636.25</v>
      </c>
    </row>
    <row r="59" spans="1:28">
      <c r="A59" s="2">
        <v>57</v>
      </c>
      <c r="B59" s="2">
        <v>511</v>
      </c>
      <c r="C59" s="110" t="s">
        <v>159</v>
      </c>
      <c r="D59" s="2" t="s">
        <v>107</v>
      </c>
      <c r="E59" s="2" t="s">
        <v>149</v>
      </c>
      <c r="F59" s="8">
        <v>12</v>
      </c>
      <c r="G59" s="8">
        <f>F59*1.3</f>
        <v>15.6</v>
      </c>
      <c r="H59" s="8">
        <f t="shared" si="12"/>
        <v>16</v>
      </c>
      <c r="I59" s="8">
        <v>1</v>
      </c>
      <c r="J59" s="8">
        <v>17</v>
      </c>
      <c r="K59" s="114">
        <v>-5</v>
      </c>
      <c r="L59" s="8">
        <v>112</v>
      </c>
      <c r="M59" s="8">
        <f>L59*1.18</f>
        <v>132.16</v>
      </c>
      <c r="N59" s="8">
        <f t="shared" si="13"/>
        <v>132</v>
      </c>
      <c r="O59" s="114">
        <f>VLOOKUP(B:B,[3]Sheet6!$G$1:$H$65536,2,0)</f>
        <v>1</v>
      </c>
      <c r="P59" s="114">
        <f>VLOOKUP(B:B,'10月'!B:S,18,0)</f>
        <v>8</v>
      </c>
      <c r="Q59" s="114">
        <f t="shared" si="14"/>
        <v>7</v>
      </c>
      <c r="R59" s="12">
        <v>6</v>
      </c>
      <c r="S59" s="122">
        <f>R59*1.4</f>
        <v>8.4</v>
      </c>
      <c r="T59" s="122">
        <f t="shared" si="15"/>
        <v>8</v>
      </c>
      <c r="U59">
        <v>1986.5</v>
      </c>
      <c r="V59">
        <f>U59*1.5</f>
        <v>2979.75</v>
      </c>
      <c r="Z59">
        <f t="shared" si="16"/>
        <v>2679.75</v>
      </c>
      <c r="AA59">
        <f t="shared" si="17"/>
        <v>593.25</v>
      </c>
      <c r="AB59">
        <f t="shared" si="19"/>
        <v>2579.75</v>
      </c>
    </row>
    <row r="60" spans="1:28">
      <c r="A60" s="2">
        <v>58</v>
      </c>
      <c r="B60" s="2">
        <v>747</v>
      </c>
      <c r="C60" s="110" t="s">
        <v>160</v>
      </c>
      <c r="D60" s="2" t="s">
        <v>139</v>
      </c>
      <c r="E60" s="2" t="s">
        <v>149</v>
      </c>
      <c r="F60" s="8">
        <v>4</v>
      </c>
      <c r="G60" s="8">
        <f>F60*1.4</f>
        <v>5.6</v>
      </c>
      <c r="H60" s="8">
        <f t="shared" si="12"/>
        <v>6</v>
      </c>
      <c r="I60" s="8">
        <v>3</v>
      </c>
      <c r="J60" s="8">
        <v>6</v>
      </c>
      <c r="K60" s="114">
        <v>-2</v>
      </c>
      <c r="L60" s="8">
        <v>73</v>
      </c>
      <c r="M60" s="91">
        <f t="shared" ref="M60:M66" si="20">L60*1.3</f>
        <v>94.9</v>
      </c>
      <c r="N60" s="8">
        <f t="shared" si="13"/>
        <v>95</v>
      </c>
      <c r="O60" s="114">
        <f>VLOOKUP(B:B,[3]Sheet6!$G$1:$H$65536,2,0)</f>
        <v>8</v>
      </c>
      <c r="P60" s="114">
        <f>VLOOKUP(B:B,'10月'!B:S,18,0)</f>
        <v>12</v>
      </c>
      <c r="Q60" s="114">
        <f t="shared" si="14"/>
        <v>4</v>
      </c>
      <c r="R60" s="12">
        <v>12</v>
      </c>
      <c r="S60" s="122">
        <f>R60*1.2</f>
        <v>14.4</v>
      </c>
      <c r="T60" s="122">
        <f t="shared" si="15"/>
        <v>14</v>
      </c>
      <c r="U60">
        <v>2524.14</v>
      </c>
      <c r="V60">
        <f>U60*1.4</f>
        <v>3533.796</v>
      </c>
      <c r="Z60">
        <f t="shared" si="16"/>
        <v>3233.8</v>
      </c>
      <c r="AA60">
        <f t="shared" si="17"/>
        <v>609.66</v>
      </c>
      <c r="AB60">
        <f t="shared" si="19"/>
        <v>3133.8</v>
      </c>
    </row>
    <row r="61" spans="1:28">
      <c r="A61" s="2">
        <v>59</v>
      </c>
      <c r="B61" s="2">
        <v>572</v>
      </c>
      <c r="C61" s="110" t="s">
        <v>161</v>
      </c>
      <c r="D61" s="2" t="s">
        <v>104</v>
      </c>
      <c r="E61" s="2" t="s">
        <v>149</v>
      </c>
      <c r="F61" s="8">
        <v>12</v>
      </c>
      <c r="G61" s="8">
        <f>F61*1.3</f>
        <v>15.6</v>
      </c>
      <c r="H61" s="8">
        <f t="shared" si="12"/>
        <v>16</v>
      </c>
      <c r="I61" s="8">
        <v>1</v>
      </c>
      <c r="J61" s="8">
        <v>17</v>
      </c>
      <c r="K61" s="114">
        <v>-5</v>
      </c>
      <c r="L61" s="8">
        <v>92</v>
      </c>
      <c r="M61" s="91">
        <f t="shared" si="20"/>
        <v>119.6</v>
      </c>
      <c r="N61" s="8">
        <f t="shared" si="13"/>
        <v>120</v>
      </c>
      <c r="O61" s="114">
        <f>VLOOKUP(B:B,[3]Sheet6!$G$1:$H$65536,2,0)</f>
        <v>15</v>
      </c>
      <c r="P61" s="114">
        <f>VLOOKUP(B:B,'10月'!B:S,18,0)</f>
        <v>12</v>
      </c>
      <c r="Q61" s="114">
        <f t="shared" si="14"/>
        <v>-3</v>
      </c>
      <c r="R61" s="12">
        <f>O61</f>
        <v>15</v>
      </c>
      <c r="S61" s="122">
        <f>R61*1.2</f>
        <v>18</v>
      </c>
      <c r="T61" s="122">
        <f t="shared" si="15"/>
        <v>18</v>
      </c>
      <c r="U61">
        <v>5798.06</v>
      </c>
      <c r="V61">
        <f>U61*1.2</f>
        <v>6957.672</v>
      </c>
      <c r="Z61">
        <f>ROUND(V61-400,2)</f>
        <v>6557.67</v>
      </c>
      <c r="AA61">
        <f t="shared" si="17"/>
        <v>659.61</v>
      </c>
      <c r="AB61">
        <f t="shared" si="19"/>
        <v>6457.67</v>
      </c>
    </row>
    <row r="62" spans="1:28">
      <c r="A62" s="2">
        <v>60</v>
      </c>
      <c r="B62" s="2">
        <v>723</v>
      </c>
      <c r="C62" s="110" t="s">
        <v>162</v>
      </c>
      <c r="D62" s="2" t="s">
        <v>113</v>
      </c>
      <c r="E62" s="2" t="s">
        <v>149</v>
      </c>
      <c r="F62" s="8">
        <v>5</v>
      </c>
      <c r="G62" s="8">
        <f>F62*1.4</f>
        <v>7</v>
      </c>
      <c r="H62" s="8">
        <f t="shared" si="12"/>
        <v>7</v>
      </c>
      <c r="I62" s="8">
        <v>4</v>
      </c>
      <c r="J62" s="8">
        <v>6</v>
      </c>
      <c r="K62" s="114">
        <v>-1</v>
      </c>
      <c r="L62" s="8">
        <v>72</v>
      </c>
      <c r="M62" s="91">
        <f t="shared" si="20"/>
        <v>93.6</v>
      </c>
      <c r="N62" s="8">
        <f t="shared" si="13"/>
        <v>94</v>
      </c>
      <c r="O62" s="114">
        <f>VLOOKUP(B:B,[3]Sheet6!$G$1:$H$65536,2,0)</f>
        <v>4</v>
      </c>
      <c r="P62" s="114">
        <f>VLOOKUP(B:B,'10月'!B:S,18,0)</f>
        <v>3</v>
      </c>
      <c r="Q62" s="114">
        <f t="shared" si="14"/>
        <v>-1</v>
      </c>
      <c r="R62" s="12">
        <f>O62</f>
        <v>4</v>
      </c>
      <c r="S62" s="122">
        <f>R62*1.4</f>
        <v>5.6</v>
      </c>
      <c r="T62" s="122">
        <f t="shared" si="15"/>
        <v>6</v>
      </c>
      <c r="U62">
        <v>1037.04</v>
      </c>
      <c r="V62">
        <f>U62*1.5</f>
        <v>1555.56</v>
      </c>
      <c r="Z62">
        <f t="shared" si="16"/>
        <v>1255.56</v>
      </c>
      <c r="AA62">
        <f t="shared" si="17"/>
        <v>218.52</v>
      </c>
      <c r="AB62">
        <f>Z62</f>
        <v>1255.56</v>
      </c>
    </row>
    <row r="63" spans="1:28">
      <c r="A63" s="2">
        <v>61</v>
      </c>
      <c r="B63" s="2">
        <v>718</v>
      </c>
      <c r="C63" s="110" t="s">
        <v>163</v>
      </c>
      <c r="D63" s="2" t="s">
        <v>113</v>
      </c>
      <c r="E63" s="2" t="s">
        <v>149</v>
      </c>
      <c r="F63" s="8">
        <v>10</v>
      </c>
      <c r="G63" s="8">
        <f>F63*1.3</f>
        <v>13</v>
      </c>
      <c r="H63" s="8">
        <f t="shared" si="12"/>
        <v>13</v>
      </c>
      <c r="I63" s="8">
        <v>16</v>
      </c>
      <c r="J63" s="8">
        <v>6</v>
      </c>
      <c r="K63" s="114">
        <v>4</v>
      </c>
      <c r="L63" s="8">
        <v>54</v>
      </c>
      <c r="M63" s="91">
        <f t="shared" si="20"/>
        <v>70.2</v>
      </c>
      <c r="N63" s="8">
        <f t="shared" si="13"/>
        <v>70</v>
      </c>
      <c r="O63" s="114">
        <f>VLOOKUP(B:B,[3]Sheet6!$G$1:$H$65536,2,0)</f>
        <v>18</v>
      </c>
      <c r="P63" s="114">
        <f>VLOOKUP(B:B,'10月'!B:S,18,0)</f>
        <v>2</v>
      </c>
      <c r="Q63" s="114">
        <f t="shared" si="14"/>
        <v>-16</v>
      </c>
      <c r="R63" s="12">
        <f>O63</f>
        <v>18</v>
      </c>
      <c r="S63" s="122">
        <f>R63*1.2</f>
        <v>21.6</v>
      </c>
      <c r="T63" s="122">
        <f t="shared" si="15"/>
        <v>22</v>
      </c>
      <c r="U63">
        <v>2058.02</v>
      </c>
      <c r="V63">
        <f>U63*1.4</f>
        <v>2881.228</v>
      </c>
      <c r="Z63">
        <f t="shared" si="16"/>
        <v>2581.23</v>
      </c>
      <c r="AA63">
        <f t="shared" si="17"/>
        <v>423.21</v>
      </c>
      <c r="AB63">
        <f>Z63-100</f>
        <v>2481.23</v>
      </c>
    </row>
    <row r="64" spans="1:28">
      <c r="A64" s="2">
        <v>62</v>
      </c>
      <c r="B64" s="101">
        <v>102935</v>
      </c>
      <c r="C64" s="111" t="s">
        <v>164</v>
      </c>
      <c r="D64" s="2" t="s">
        <v>109</v>
      </c>
      <c r="E64" s="2" t="s">
        <v>149</v>
      </c>
      <c r="F64" s="8">
        <v>15</v>
      </c>
      <c r="G64" s="8">
        <f>F64*1.3</f>
        <v>19.5</v>
      </c>
      <c r="H64" s="8">
        <f t="shared" si="12"/>
        <v>20</v>
      </c>
      <c r="I64" s="8">
        <v>22</v>
      </c>
      <c r="J64" s="8">
        <v>6</v>
      </c>
      <c r="K64" s="114">
        <v>9</v>
      </c>
      <c r="L64" s="8">
        <v>74</v>
      </c>
      <c r="M64" s="91">
        <f t="shared" si="20"/>
        <v>96.2</v>
      </c>
      <c r="N64" s="8">
        <f t="shared" si="13"/>
        <v>96</v>
      </c>
      <c r="O64" s="114">
        <f>VLOOKUP(B:B,[3]Sheet6!$G$1:$H$65536,2,0)</f>
        <v>12</v>
      </c>
      <c r="P64" s="114">
        <f>VLOOKUP(B:B,'10月'!B:S,18,0)</f>
        <v>5</v>
      </c>
      <c r="Q64" s="114">
        <f t="shared" si="14"/>
        <v>-7</v>
      </c>
      <c r="R64" s="12">
        <v>9</v>
      </c>
      <c r="S64" s="122">
        <f>R64*1.4</f>
        <v>12.6</v>
      </c>
      <c r="T64" s="122">
        <f t="shared" si="15"/>
        <v>13</v>
      </c>
      <c r="U64">
        <v>1137</v>
      </c>
      <c r="V64">
        <f>U64*1.5</f>
        <v>1705.5</v>
      </c>
      <c r="W64">
        <f>VLOOKUP(B:B,[3]Sheet10!$G$1:$H$65536,2,0)</f>
        <v>508.01</v>
      </c>
      <c r="X64">
        <f>VLOOKUP(B:B,'10月'!B:AB,27,0)</f>
        <v>1137</v>
      </c>
      <c r="Y64">
        <f>X64-W64</f>
        <v>628.99</v>
      </c>
      <c r="Z64">
        <f t="shared" si="16"/>
        <v>1405.5</v>
      </c>
      <c r="AA64">
        <f t="shared" si="17"/>
        <v>268.5</v>
      </c>
      <c r="AB64">
        <f>Z64</f>
        <v>1405.5</v>
      </c>
    </row>
    <row r="65" spans="1:28">
      <c r="A65" s="2">
        <v>63</v>
      </c>
      <c r="B65" s="101">
        <v>102478</v>
      </c>
      <c r="C65" s="111" t="s">
        <v>165</v>
      </c>
      <c r="D65" s="2" t="s">
        <v>139</v>
      </c>
      <c r="E65" s="2" t="s">
        <v>149</v>
      </c>
      <c r="F65" s="8">
        <v>4</v>
      </c>
      <c r="G65" s="8">
        <f>F65*1.4</f>
        <v>5.6</v>
      </c>
      <c r="H65" s="8">
        <f t="shared" si="12"/>
        <v>6</v>
      </c>
      <c r="I65" s="8">
        <v>3</v>
      </c>
      <c r="J65" s="8">
        <v>6</v>
      </c>
      <c r="K65" s="114">
        <v>-2</v>
      </c>
      <c r="L65" s="8">
        <v>40</v>
      </c>
      <c r="M65" s="91">
        <f t="shared" si="20"/>
        <v>52</v>
      </c>
      <c r="N65" s="8">
        <f t="shared" si="13"/>
        <v>52</v>
      </c>
      <c r="O65" s="114">
        <f>VLOOKUP(B:B,[3]Sheet6!$G$1:$H$65536,2,0)</f>
        <v>3</v>
      </c>
      <c r="P65" s="114">
        <f>VLOOKUP(B:B,'10月'!B:S,18,0)</f>
        <v>2</v>
      </c>
      <c r="Q65" s="114">
        <f t="shared" si="14"/>
        <v>-1</v>
      </c>
      <c r="R65" s="12">
        <f>O65</f>
        <v>3</v>
      </c>
      <c r="S65" s="122">
        <f>R65*1.4</f>
        <v>4.2</v>
      </c>
      <c r="T65" s="122">
        <f t="shared" si="15"/>
        <v>4</v>
      </c>
      <c r="U65">
        <v>900</v>
      </c>
      <c r="V65">
        <f>U65*1.6</f>
        <v>1440</v>
      </c>
      <c r="W65">
        <f>VLOOKUP(B:B,[3]Sheet10!$G$1:$H$65536,2,0)</f>
        <v>1001.36</v>
      </c>
      <c r="X65">
        <f>VLOOKUP(B:B,'10月'!B:AB,27,0)</f>
        <v>464</v>
      </c>
      <c r="Y65">
        <f>X65-W65</f>
        <v>-537.36</v>
      </c>
      <c r="Z65">
        <f t="shared" si="16"/>
        <v>1140</v>
      </c>
      <c r="AA65">
        <f t="shared" si="17"/>
        <v>240</v>
      </c>
      <c r="AB65">
        <f>Z65</f>
        <v>1140</v>
      </c>
    </row>
    <row r="66" spans="1:28">
      <c r="A66" s="2">
        <v>64</v>
      </c>
      <c r="B66" s="101">
        <v>102479</v>
      </c>
      <c r="C66" s="111" t="s">
        <v>166</v>
      </c>
      <c r="D66" s="2" t="s">
        <v>109</v>
      </c>
      <c r="E66" s="2" t="s">
        <v>149</v>
      </c>
      <c r="F66" s="8">
        <v>8</v>
      </c>
      <c r="G66" s="8">
        <f>F66*1.4</f>
        <v>11.2</v>
      </c>
      <c r="H66" s="8">
        <f t="shared" si="12"/>
        <v>11</v>
      </c>
      <c r="I66" s="8">
        <v>9</v>
      </c>
      <c r="J66" s="8">
        <v>6</v>
      </c>
      <c r="K66" s="114">
        <v>2</v>
      </c>
      <c r="L66" s="8">
        <v>98</v>
      </c>
      <c r="M66" s="91">
        <f t="shared" si="20"/>
        <v>127.4</v>
      </c>
      <c r="N66" s="8">
        <f t="shared" si="13"/>
        <v>127</v>
      </c>
      <c r="O66" s="114">
        <f>VLOOKUP(B:B,[3]Sheet6!$G$1:$H$65536,2,0)</f>
        <v>1</v>
      </c>
      <c r="P66" s="114">
        <f>VLOOKUP(B:B,'10月'!B:S,18,0)</f>
        <v>11</v>
      </c>
      <c r="Q66" s="114">
        <f t="shared" si="14"/>
        <v>10</v>
      </c>
      <c r="R66" s="12">
        <v>6</v>
      </c>
      <c r="S66" s="122">
        <f>R66*1.4</f>
        <v>8.4</v>
      </c>
      <c r="T66" s="122">
        <f t="shared" si="15"/>
        <v>8</v>
      </c>
      <c r="U66">
        <v>1237.3</v>
      </c>
      <c r="V66">
        <f>U66*1.5</f>
        <v>1855.95</v>
      </c>
      <c r="W66">
        <f>VLOOKUP(B:B,[3]Sheet10!$G$1:$H$65536,2,0)</f>
        <v>651.51</v>
      </c>
      <c r="X66">
        <f>VLOOKUP(B:B,'10月'!B:AB,27,0)</f>
        <v>1237.3</v>
      </c>
      <c r="Y66">
        <f>X66-W66</f>
        <v>585.79</v>
      </c>
      <c r="Z66">
        <f t="shared" si="16"/>
        <v>1555.95</v>
      </c>
      <c r="AA66">
        <f t="shared" si="17"/>
        <v>218.65</v>
      </c>
      <c r="AB66">
        <f>Z66-100</f>
        <v>1455.95</v>
      </c>
    </row>
    <row r="67" spans="1:28">
      <c r="A67" s="2">
        <v>65</v>
      </c>
      <c r="B67" s="101">
        <v>337</v>
      </c>
      <c r="C67" s="110" t="s">
        <v>167</v>
      </c>
      <c r="D67" s="2" t="s">
        <v>92</v>
      </c>
      <c r="E67" s="2" t="s">
        <v>149</v>
      </c>
      <c r="F67" s="8">
        <v>29</v>
      </c>
      <c r="G67" s="8">
        <f>F67*1.2</f>
        <v>34.8</v>
      </c>
      <c r="H67" s="8">
        <f t="shared" si="12"/>
        <v>35</v>
      </c>
      <c r="I67" s="8" t="e">
        <v>#N/A</v>
      </c>
      <c r="J67" s="8" t="e">
        <v>#N/A</v>
      </c>
      <c r="K67" s="114" t="e">
        <v>#N/A</v>
      </c>
      <c r="L67" s="8">
        <v>354</v>
      </c>
      <c r="M67" s="8">
        <f>L67*1.08</f>
        <v>382.32</v>
      </c>
      <c r="N67" s="8">
        <f t="shared" si="13"/>
        <v>382</v>
      </c>
      <c r="O67" s="114"/>
      <c r="P67" s="114" t="e">
        <f>VLOOKUP(B:B,'10月'!B:S,18,0)</f>
        <v>#N/A</v>
      </c>
      <c r="Q67" s="114" t="e">
        <f t="shared" si="14"/>
        <v>#N/A</v>
      </c>
      <c r="R67" s="12">
        <v>23</v>
      </c>
      <c r="S67" s="122">
        <f>R67*1.15</f>
        <v>26.45</v>
      </c>
      <c r="T67" s="122">
        <f t="shared" si="15"/>
        <v>26</v>
      </c>
      <c r="U67">
        <v>15501.09</v>
      </c>
      <c r="V67">
        <f>U67*1.08</f>
        <v>16741.1772</v>
      </c>
      <c r="Z67">
        <f>ROUND(V67-500,2)</f>
        <v>16241.18</v>
      </c>
      <c r="AA67">
        <f t="shared" si="17"/>
        <v>640.09</v>
      </c>
      <c r="AB67">
        <f>Z67-100</f>
        <v>16141.18</v>
      </c>
    </row>
    <row r="68" spans="1:28">
      <c r="A68" s="2">
        <v>66</v>
      </c>
      <c r="B68" s="90">
        <v>341</v>
      </c>
      <c r="C68" s="111" t="s">
        <v>168</v>
      </c>
      <c r="D68" s="90" t="s">
        <v>92</v>
      </c>
      <c r="E68" s="90" t="s">
        <v>169</v>
      </c>
      <c r="F68" s="8">
        <v>22</v>
      </c>
      <c r="G68" s="8">
        <f>F68*1.2</f>
        <v>26.4</v>
      </c>
      <c r="H68" s="8">
        <f t="shared" ref="H68:H102" si="21">ROUND(G68,0)</f>
        <v>26</v>
      </c>
      <c r="I68" s="8">
        <v>8</v>
      </c>
      <c r="J68" s="8">
        <v>27</v>
      </c>
      <c r="K68" s="114">
        <v>-5</v>
      </c>
      <c r="L68" s="8">
        <v>64</v>
      </c>
      <c r="M68" s="91">
        <f>L68*1.3</f>
        <v>83.2</v>
      </c>
      <c r="N68" s="8">
        <f t="shared" ref="N68:N102" si="22">ROUND(M68,0)</f>
        <v>83</v>
      </c>
      <c r="O68" s="114">
        <f>VLOOKUP(B:B,[3]Sheet6!$G$1:$H$65536,2,0)</f>
        <v>23</v>
      </c>
      <c r="P68" s="114">
        <f>VLOOKUP(B:B,'10月'!B:S,18,0)</f>
        <v>16</v>
      </c>
      <c r="Q68" s="114">
        <f t="shared" ref="Q68:Q103" si="23">P68-O68</f>
        <v>-7</v>
      </c>
      <c r="R68" s="12">
        <v>19</v>
      </c>
      <c r="S68" s="122">
        <f>R68*1.2</f>
        <v>22.8</v>
      </c>
      <c r="T68" s="122">
        <f t="shared" ref="T68:T102" si="24">ROUND(S68,0)</f>
        <v>23</v>
      </c>
      <c r="U68">
        <v>25600.62</v>
      </c>
      <c r="V68">
        <f>U68*1.05</f>
        <v>26880.651</v>
      </c>
      <c r="W68">
        <f>VLOOKUP(B:B,[3]Sheet10!$G$1:$H$65536,2,0)</f>
        <v>25600.62</v>
      </c>
      <c r="X68">
        <f>VLOOKUP(B:B,'10月'!B:AB,27,0)</f>
        <v>17349.3</v>
      </c>
      <c r="Y68">
        <f>X68-W68</f>
        <v>-8251.32</v>
      </c>
      <c r="Z68">
        <f>ROUND(V68-500,2)</f>
        <v>26380.65</v>
      </c>
      <c r="AA68">
        <f t="shared" ref="AA68:AA102" si="25">AB68-U68</f>
        <v>680.030000000002</v>
      </c>
      <c r="AB68">
        <f>Z68-100</f>
        <v>26280.65</v>
      </c>
    </row>
    <row r="69" spans="1:28">
      <c r="A69" s="2">
        <v>67</v>
      </c>
      <c r="B69" s="2">
        <v>514</v>
      </c>
      <c r="C69" s="110" t="s">
        <v>170</v>
      </c>
      <c r="D69" s="2" t="s">
        <v>95</v>
      </c>
      <c r="E69" s="2" t="s">
        <v>169</v>
      </c>
      <c r="F69" s="8">
        <v>20</v>
      </c>
      <c r="G69" s="8">
        <f>F69*1.2</f>
        <v>24</v>
      </c>
      <c r="H69" s="8">
        <f t="shared" si="21"/>
        <v>24</v>
      </c>
      <c r="I69" s="8">
        <v>5</v>
      </c>
      <c r="J69" s="8">
        <v>27</v>
      </c>
      <c r="K69" s="114">
        <v>-7</v>
      </c>
      <c r="L69" s="8">
        <v>226</v>
      </c>
      <c r="M69" s="8">
        <f>L69*1.09</f>
        <v>246.34</v>
      </c>
      <c r="N69" s="8">
        <f t="shared" si="22"/>
        <v>246</v>
      </c>
      <c r="O69" s="114">
        <f>VLOOKUP(B:B,[3]Sheet6!$G$1:$H$65536,2,0)</f>
        <v>20</v>
      </c>
      <c r="P69" s="114">
        <f>VLOOKUP(B:B,'10月'!B:S,18,0)</f>
        <v>8</v>
      </c>
      <c r="Q69" s="114">
        <f t="shared" si="23"/>
        <v>-12</v>
      </c>
      <c r="R69" s="12">
        <f>O69</f>
        <v>20</v>
      </c>
      <c r="S69" s="122">
        <f>R69*1.15</f>
        <v>23</v>
      </c>
      <c r="T69" s="122">
        <f t="shared" si="24"/>
        <v>23</v>
      </c>
      <c r="U69">
        <v>5638.57</v>
      </c>
      <c r="V69">
        <f>U69*1.2</f>
        <v>6766.284</v>
      </c>
      <c r="Z69">
        <f>ROUND(V69-400,2)</f>
        <v>6366.28</v>
      </c>
      <c r="AA69">
        <f t="shared" si="25"/>
        <v>627.71</v>
      </c>
      <c r="AB69">
        <f>Z69-100</f>
        <v>6266.28</v>
      </c>
    </row>
    <row r="70" spans="1:28">
      <c r="A70" s="2">
        <v>68</v>
      </c>
      <c r="B70" s="2">
        <v>746</v>
      </c>
      <c r="C70" s="110" t="s">
        <v>171</v>
      </c>
      <c r="D70" s="2" t="s">
        <v>109</v>
      </c>
      <c r="E70" s="2" t="s">
        <v>169</v>
      </c>
      <c r="F70" s="8">
        <v>14</v>
      </c>
      <c r="G70" s="8">
        <f>F70*1.3</f>
        <v>18.2</v>
      </c>
      <c r="H70" s="8">
        <f t="shared" si="21"/>
        <v>18</v>
      </c>
      <c r="I70" s="8">
        <v>2</v>
      </c>
      <c r="J70" s="8">
        <v>17</v>
      </c>
      <c r="K70" s="114">
        <v>-3</v>
      </c>
      <c r="L70" s="8">
        <v>74</v>
      </c>
      <c r="M70" s="91">
        <f>L70*1.3</f>
        <v>96.2</v>
      </c>
      <c r="N70" s="8">
        <f t="shared" si="22"/>
        <v>96</v>
      </c>
      <c r="O70" s="114">
        <f>VLOOKUP(B:B,[3]Sheet6!$G$1:$H$65536,2,0)</f>
        <v>2</v>
      </c>
      <c r="P70" s="114">
        <f>VLOOKUP(B:B,'10月'!B:S,18,0)</f>
        <v>2</v>
      </c>
      <c r="Q70" s="114">
        <f t="shared" si="23"/>
        <v>0</v>
      </c>
      <c r="R70" s="12">
        <v>3</v>
      </c>
      <c r="S70" s="122">
        <f>R70*1.4</f>
        <v>4.2</v>
      </c>
      <c r="T70" s="122">
        <f t="shared" si="24"/>
        <v>4</v>
      </c>
      <c r="U70">
        <v>1113.25</v>
      </c>
      <c r="V70">
        <f>U70*1.5</f>
        <v>1669.875</v>
      </c>
      <c r="Z70">
        <f t="shared" ref="Z68:Z102" si="26">ROUND(V70-300,2)</f>
        <v>1369.88</v>
      </c>
      <c r="AA70">
        <f t="shared" si="25"/>
        <v>256.63</v>
      </c>
      <c r="AB70">
        <f>Z70</f>
        <v>1369.88</v>
      </c>
    </row>
    <row r="71" spans="1:28">
      <c r="A71" s="2">
        <v>69</v>
      </c>
      <c r="B71" s="2">
        <v>385</v>
      </c>
      <c r="C71" s="110" t="s">
        <v>172</v>
      </c>
      <c r="D71" s="2" t="s">
        <v>92</v>
      </c>
      <c r="E71" s="2" t="s">
        <v>169</v>
      </c>
      <c r="F71" s="8">
        <v>27</v>
      </c>
      <c r="G71" s="8">
        <f>F71*1.2</f>
        <v>32.4</v>
      </c>
      <c r="H71" s="8">
        <f t="shared" si="21"/>
        <v>32</v>
      </c>
      <c r="I71" s="8">
        <v>20</v>
      </c>
      <c r="J71" s="8">
        <v>27</v>
      </c>
      <c r="K71" s="114">
        <v>0</v>
      </c>
      <c r="L71" s="8">
        <v>56</v>
      </c>
      <c r="M71" s="91">
        <f>L71*1.3</f>
        <v>72.8</v>
      </c>
      <c r="N71" s="8">
        <f t="shared" si="22"/>
        <v>73</v>
      </c>
      <c r="O71" s="114">
        <f>VLOOKUP(B:B,[3]Sheet6!$G$1:$H$65536,2,0)</f>
        <v>8</v>
      </c>
      <c r="P71" s="114">
        <f>VLOOKUP(B:B,'10月'!B:S,18,0)</f>
        <v>12</v>
      </c>
      <c r="Q71" s="114">
        <f t="shared" si="23"/>
        <v>4</v>
      </c>
      <c r="R71" s="12">
        <v>12</v>
      </c>
      <c r="S71" s="122">
        <f>R71*1.2</f>
        <v>14.4</v>
      </c>
      <c r="T71" s="122">
        <f t="shared" si="24"/>
        <v>14</v>
      </c>
      <c r="U71">
        <v>1236.5</v>
      </c>
      <c r="V71">
        <f>U71*1.5</f>
        <v>1854.75</v>
      </c>
      <c r="Z71">
        <f t="shared" si="26"/>
        <v>1554.75</v>
      </c>
      <c r="AA71">
        <f t="shared" si="25"/>
        <v>218.25</v>
      </c>
      <c r="AB71">
        <f t="shared" ref="AB71:AB83" si="27">Z71-100</f>
        <v>1454.75</v>
      </c>
    </row>
    <row r="72" spans="1:28">
      <c r="A72" s="2">
        <v>70</v>
      </c>
      <c r="B72" s="2">
        <v>721</v>
      </c>
      <c r="C72" s="110" t="s">
        <v>173</v>
      </c>
      <c r="D72" s="2" t="s">
        <v>109</v>
      </c>
      <c r="E72" s="2" t="s">
        <v>169</v>
      </c>
      <c r="F72" s="8">
        <v>14</v>
      </c>
      <c r="G72" s="8">
        <f>F72*1.3</f>
        <v>18.2</v>
      </c>
      <c r="H72" s="8">
        <f t="shared" si="21"/>
        <v>18</v>
      </c>
      <c r="I72" s="8">
        <v>2</v>
      </c>
      <c r="J72" s="8">
        <v>17</v>
      </c>
      <c r="K72" s="114">
        <v>-3</v>
      </c>
      <c r="L72" s="8">
        <v>150</v>
      </c>
      <c r="M72" s="8">
        <f>L72*1.13</f>
        <v>169.5</v>
      </c>
      <c r="N72" s="8">
        <f t="shared" si="22"/>
        <v>170</v>
      </c>
      <c r="O72" s="114">
        <f>VLOOKUP(B:B,[3]Sheet6!$G$1:$H$65536,2,0)</f>
        <v>9</v>
      </c>
      <c r="P72" s="114">
        <f>VLOOKUP(B:B,'10月'!B:S,18,0)</f>
        <v>8</v>
      </c>
      <c r="Q72" s="114">
        <f t="shared" si="23"/>
        <v>-1</v>
      </c>
      <c r="R72" s="12">
        <f>O72</f>
        <v>9</v>
      </c>
      <c r="S72" s="122">
        <f t="shared" ref="S72:S79" si="28">R72*1.4</f>
        <v>12.6</v>
      </c>
      <c r="T72" s="122">
        <f t="shared" si="24"/>
        <v>13</v>
      </c>
      <c r="U72">
        <v>3023</v>
      </c>
      <c r="V72">
        <f>U72*1.3</f>
        <v>3929.9</v>
      </c>
      <c r="Z72">
        <f t="shared" si="26"/>
        <v>3629.9</v>
      </c>
      <c r="AA72">
        <f t="shared" si="25"/>
        <v>506.9</v>
      </c>
      <c r="AB72">
        <f t="shared" si="27"/>
        <v>3529.9</v>
      </c>
    </row>
    <row r="73" spans="1:28">
      <c r="A73" s="2">
        <v>71</v>
      </c>
      <c r="B73" s="2">
        <v>717</v>
      </c>
      <c r="C73" s="110" t="s">
        <v>174</v>
      </c>
      <c r="D73" s="2" t="s">
        <v>109</v>
      </c>
      <c r="E73" s="2" t="s">
        <v>169</v>
      </c>
      <c r="F73" s="8">
        <v>4</v>
      </c>
      <c r="G73" s="8">
        <f>F73*1.4</f>
        <v>5.6</v>
      </c>
      <c r="H73" s="8">
        <f t="shared" si="21"/>
        <v>6</v>
      </c>
      <c r="I73" s="8">
        <v>3</v>
      </c>
      <c r="J73" s="8">
        <v>6</v>
      </c>
      <c r="K73" s="114">
        <v>-2</v>
      </c>
      <c r="L73" s="8">
        <v>70</v>
      </c>
      <c r="M73" s="91">
        <f>L73*1.3</f>
        <v>91</v>
      </c>
      <c r="N73" s="8">
        <f t="shared" si="22"/>
        <v>91</v>
      </c>
      <c r="O73" s="114">
        <f>VLOOKUP(B:B,[3]Sheet6!$G$1:$H$65536,2,0)</f>
        <v>2</v>
      </c>
      <c r="P73" s="114">
        <f>VLOOKUP(B:B,'10月'!B:S,18,0)</f>
        <v>3</v>
      </c>
      <c r="Q73" s="114">
        <f t="shared" si="23"/>
        <v>1</v>
      </c>
      <c r="R73" s="12">
        <v>3</v>
      </c>
      <c r="S73" s="122">
        <f t="shared" si="28"/>
        <v>4.2</v>
      </c>
      <c r="T73" s="122">
        <f t="shared" si="24"/>
        <v>4</v>
      </c>
      <c r="U73">
        <v>1234.13</v>
      </c>
      <c r="V73">
        <f>U73*1.5</f>
        <v>1851.195</v>
      </c>
      <c r="Z73">
        <f t="shared" si="26"/>
        <v>1551.2</v>
      </c>
      <c r="AA73">
        <f t="shared" si="25"/>
        <v>217.07</v>
      </c>
      <c r="AB73">
        <f t="shared" si="27"/>
        <v>1451.2</v>
      </c>
    </row>
    <row r="74" spans="1:28">
      <c r="A74" s="2">
        <v>72</v>
      </c>
      <c r="B74" s="2">
        <v>591</v>
      </c>
      <c r="C74" s="110" t="s">
        <v>175</v>
      </c>
      <c r="D74" s="2" t="s">
        <v>109</v>
      </c>
      <c r="E74" s="2" t="s">
        <v>169</v>
      </c>
      <c r="F74" s="8">
        <v>14</v>
      </c>
      <c r="G74" s="8">
        <f>F74*1.3</f>
        <v>18.2</v>
      </c>
      <c r="H74" s="8">
        <f t="shared" si="21"/>
        <v>18</v>
      </c>
      <c r="I74" s="8">
        <v>5</v>
      </c>
      <c r="J74" s="8">
        <v>17</v>
      </c>
      <c r="K74" s="114">
        <v>-3</v>
      </c>
      <c r="L74" s="8">
        <v>154</v>
      </c>
      <c r="M74" s="8">
        <f>L74*1.13</f>
        <v>174.02</v>
      </c>
      <c r="N74" s="8">
        <f t="shared" si="22"/>
        <v>174</v>
      </c>
      <c r="O74" s="114">
        <f>VLOOKUP(B:B,[3]Sheet6!$G$1:$H$65536,2,0)</f>
        <v>7</v>
      </c>
      <c r="P74" s="114">
        <f>VLOOKUP(B:B,'10月'!B:S,18,0)</f>
        <v>4</v>
      </c>
      <c r="Q74" s="114">
        <f t="shared" si="23"/>
        <v>-3</v>
      </c>
      <c r="R74" s="12">
        <f>O74</f>
        <v>7</v>
      </c>
      <c r="S74" s="122">
        <f t="shared" si="28"/>
        <v>9.8</v>
      </c>
      <c r="T74" s="122">
        <f t="shared" si="24"/>
        <v>10</v>
      </c>
      <c r="U74">
        <v>3917.11</v>
      </c>
      <c r="V74">
        <f>U74*1.3</f>
        <v>5092.243</v>
      </c>
      <c r="Z74">
        <f>ROUND(V74-400,2)</f>
        <v>4692.24</v>
      </c>
      <c r="AA74">
        <f t="shared" si="25"/>
        <v>675.13</v>
      </c>
      <c r="AB74">
        <f t="shared" si="27"/>
        <v>4592.24</v>
      </c>
    </row>
    <row r="75" spans="1:28">
      <c r="A75" s="2">
        <v>73</v>
      </c>
      <c r="B75" s="2">
        <v>748</v>
      </c>
      <c r="C75" s="110" t="s">
        <v>176</v>
      </c>
      <c r="D75" s="2" t="s">
        <v>113</v>
      </c>
      <c r="E75" s="2" t="s">
        <v>169</v>
      </c>
      <c r="F75" s="8">
        <v>9</v>
      </c>
      <c r="G75" s="8">
        <f>F75*1.4</f>
        <v>12.6</v>
      </c>
      <c r="H75" s="8">
        <f t="shared" si="21"/>
        <v>13</v>
      </c>
      <c r="I75" s="8">
        <v>10</v>
      </c>
      <c r="J75" s="8">
        <v>6</v>
      </c>
      <c r="K75" s="114">
        <v>3</v>
      </c>
      <c r="L75" s="8">
        <v>40</v>
      </c>
      <c r="M75" s="91">
        <f t="shared" ref="M75:M84" si="29">L75*1.3</f>
        <v>52</v>
      </c>
      <c r="N75" s="8">
        <f t="shared" si="22"/>
        <v>52</v>
      </c>
      <c r="O75" s="114">
        <f>VLOOKUP(B:B,[3]Sheet6!$G$1:$H$65536,2,0)</f>
        <v>6</v>
      </c>
      <c r="P75" s="114">
        <f>VLOOKUP(B:B,'10月'!B:S,18,0)</f>
        <v>8</v>
      </c>
      <c r="Q75" s="114">
        <f t="shared" si="23"/>
        <v>2</v>
      </c>
      <c r="R75" s="12">
        <v>8</v>
      </c>
      <c r="S75" s="122">
        <f t="shared" si="28"/>
        <v>11.2</v>
      </c>
      <c r="T75" s="122">
        <f t="shared" si="24"/>
        <v>11</v>
      </c>
      <c r="U75">
        <v>3786.1</v>
      </c>
      <c r="V75">
        <f>U75*1.3</f>
        <v>4921.93</v>
      </c>
      <c r="Z75">
        <f>ROUND(V75-400,2)</f>
        <v>4521.93</v>
      </c>
      <c r="AA75">
        <f t="shared" si="25"/>
        <v>635.83</v>
      </c>
      <c r="AB75">
        <f t="shared" si="27"/>
        <v>4421.93</v>
      </c>
    </row>
    <row r="76" spans="1:28">
      <c r="A76" s="2">
        <v>74</v>
      </c>
      <c r="B76" s="2">
        <v>371</v>
      </c>
      <c r="C76" s="110" t="s">
        <v>177</v>
      </c>
      <c r="D76" s="2" t="s">
        <v>139</v>
      </c>
      <c r="E76" s="2" t="s">
        <v>169</v>
      </c>
      <c r="F76" s="8">
        <v>4</v>
      </c>
      <c r="G76" s="8">
        <f>F76*1.4</f>
        <v>5.6</v>
      </c>
      <c r="H76" s="8">
        <f t="shared" si="21"/>
        <v>6</v>
      </c>
      <c r="I76" s="8">
        <v>1</v>
      </c>
      <c r="J76" s="8">
        <v>6</v>
      </c>
      <c r="K76" s="114">
        <v>-2</v>
      </c>
      <c r="L76" s="8">
        <v>82</v>
      </c>
      <c r="M76" s="91">
        <f t="shared" si="29"/>
        <v>106.6</v>
      </c>
      <c r="N76" s="8">
        <f t="shared" si="22"/>
        <v>107</v>
      </c>
      <c r="O76" s="114" t="e">
        <f>VLOOKUP(B:B,[3]Sheet6!$G$1:$H$65536,2,0)</f>
        <v>#N/A</v>
      </c>
      <c r="P76" s="114">
        <f>VLOOKUP(B:B,'10月'!B:S,18,0)</f>
        <v>5</v>
      </c>
      <c r="Q76" s="114" t="e">
        <f t="shared" si="23"/>
        <v>#N/A</v>
      </c>
      <c r="R76" s="12">
        <v>5</v>
      </c>
      <c r="S76" s="122">
        <f t="shared" si="28"/>
        <v>7</v>
      </c>
      <c r="T76" s="122">
        <f t="shared" si="24"/>
        <v>7</v>
      </c>
      <c r="U76">
        <v>2468.86</v>
      </c>
      <c r="V76">
        <f>U76*1.4</f>
        <v>3456.404</v>
      </c>
      <c r="Z76">
        <f t="shared" si="26"/>
        <v>3156.4</v>
      </c>
      <c r="AA76">
        <f t="shared" si="25"/>
        <v>587.54</v>
      </c>
      <c r="AB76">
        <f t="shared" si="27"/>
        <v>3056.4</v>
      </c>
    </row>
    <row r="77" spans="1:28">
      <c r="A77" s="2">
        <v>75</v>
      </c>
      <c r="B77" s="2">
        <v>539</v>
      </c>
      <c r="C77" s="110" t="s">
        <v>178</v>
      </c>
      <c r="D77" s="2" t="s">
        <v>139</v>
      </c>
      <c r="E77" s="2" t="s">
        <v>169</v>
      </c>
      <c r="F77" s="8">
        <v>12</v>
      </c>
      <c r="G77" s="8">
        <f>F77*1.3</f>
        <v>15.6</v>
      </c>
      <c r="H77" s="8">
        <f t="shared" si="21"/>
        <v>16</v>
      </c>
      <c r="I77" s="8">
        <v>14</v>
      </c>
      <c r="J77" s="8">
        <v>6</v>
      </c>
      <c r="K77" s="114">
        <v>6</v>
      </c>
      <c r="L77" s="8">
        <v>40</v>
      </c>
      <c r="M77" s="91">
        <f t="shared" si="29"/>
        <v>52</v>
      </c>
      <c r="N77" s="8">
        <f t="shared" si="22"/>
        <v>52</v>
      </c>
      <c r="O77" s="114">
        <f>VLOOKUP(B:B,[3]Sheet6!$G$1:$H$65536,2,0)</f>
        <v>7</v>
      </c>
      <c r="P77" s="114">
        <f>VLOOKUP(B:B,'10月'!B:S,18,0)</f>
        <v>5</v>
      </c>
      <c r="Q77" s="114">
        <f t="shared" si="23"/>
        <v>-2</v>
      </c>
      <c r="R77" s="12">
        <v>6</v>
      </c>
      <c r="S77" s="122">
        <f t="shared" si="28"/>
        <v>8.4</v>
      </c>
      <c r="T77" s="122">
        <f t="shared" si="24"/>
        <v>8</v>
      </c>
      <c r="U77">
        <v>2910.71</v>
      </c>
      <c r="V77">
        <f>U77*1.4</f>
        <v>4074.994</v>
      </c>
      <c r="Z77">
        <f>ROUND(V77-400,2)</f>
        <v>3674.99</v>
      </c>
      <c r="AA77">
        <f t="shared" si="25"/>
        <v>664.28</v>
      </c>
      <c r="AB77">
        <f t="shared" si="27"/>
        <v>3574.99</v>
      </c>
    </row>
    <row r="78" spans="1:28">
      <c r="A78" s="2">
        <v>76</v>
      </c>
      <c r="B78" s="2">
        <v>720</v>
      </c>
      <c r="C78" s="110" t="s">
        <v>179</v>
      </c>
      <c r="D78" s="2" t="s">
        <v>113</v>
      </c>
      <c r="E78" s="2" t="s">
        <v>169</v>
      </c>
      <c r="F78" s="8">
        <v>6</v>
      </c>
      <c r="G78" s="8">
        <f>F78*1.4</f>
        <v>8.4</v>
      </c>
      <c r="H78" s="8">
        <f t="shared" si="21"/>
        <v>8</v>
      </c>
      <c r="I78" s="8">
        <v>6</v>
      </c>
      <c r="J78" s="8">
        <v>6</v>
      </c>
      <c r="K78" s="114">
        <v>0</v>
      </c>
      <c r="L78" s="8">
        <v>54</v>
      </c>
      <c r="M78" s="91">
        <f t="shared" si="29"/>
        <v>70.2</v>
      </c>
      <c r="N78" s="8">
        <f t="shared" si="22"/>
        <v>70</v>
      </c>
      <c r="O78" s="114" t="e">
        <f>VLOOKUP(B:B,[3]Sheet6!$G$1:$H$65536,2,0)</f>
        <v>#N/A</v>
      </c>
      <c r="P78" s="114">
        <f>VLOOKUP(B:B,'10月'!B:S,18,0)</f>
        <v>2</v>
      </c>
      <c r="Q78" s="114" t="e">
        <f t="shared" si="23"/>
        <v>#N/A</v>
      </c>
      <c r="R78" s="12">
        <v>2</v>
      </c>
      <c r="S78" s="122">
        <f t="shared" si="28"/>
        <v>2.8</v>
      </c>
      <c r="T78" s="122">
        <f t="shared" si="24"/>
        <v>3</v>
      </c>
      <c r="U78">
        <v>3182.24</v>
      </c>
      <c r="V78">
        <f>U78*1.3</f>
        <v>4136.912</v>
      </c>
      <c r="Z78">
        <f t="shared" si="26"/>
        <v>3836.91</v>
      </c>
      <c r="AA78">
        <f t="shared" si="25"/>
        <v>554.67</v>
      </c>
      <c r="AB78">
        <f t="shared" si="27"/>
        <v>3736.91</v>
      </c>
    </row>
    <row r="79" spans="1:28">
      <c r="A79" s="2">
        <v>77</v>
      </c>
      <c r="B79" s="2">
        <v>594</v>
      </c>
      <c r="C79" s="110" t="s">
        <v>180</v>
      </c>
      <c r="D79" s="2" t="s">
        <v>113</v>
      </c>
      <c r="E79" s="2" t="s">
        <v>169</v>
      </c>
      <c r="F79" s="8">
        <v>7</v>
      </c>
      <c r="G79" s="8">
        <f>F79*1.4</f>
        <v>9.8</v>
      </c>
      <c r="H79" s="8">
        <f t="shared" si="21"/>
        <v>10</v>
      </c>
      <c r="I79" s="8">
        <v>7</v>
      </c>
      <c r="J79" s="8">
        <v>6</v>
      </c>
      <c r="K79" s="114">
        <v>1</v>
      </c>
      <c r="L79" s="8">
        <v>47</v>
      </c>
      <c r="M79" s="91">
        <f t="shared" si="29"/>
        <v>61.1</v>
      </c>
      <c r="N79" s="8">
        <f t="shared" si="22"/>
        <v>61</v>
      </c>
      <c r="O79" s="114">
        <f>VLOOKUP(B:B,[3]Sheet6!$G$1:$H$65536,2,0)</f>
        <v>6</v>
      </c>
      <c r="P79" s="114">
        <f>VLOOKUP(B:B,'10月'!B:S,18,0)</f>
        <v>4</v>
      </c>
      <c r="Q79" s="114">
        <f t="shared" si="23"/>
        <v>-2</v>
      </c>
      <c r="R79" s="12">
        <f t="shared" ref="R76:R85" si="30">O79</f>
        <v>6</v>
      </c>
      <c r="S79" s="122">
        <f t="shared" si="28"/>
        <v>8.4</v>
      </c>
      <c r="T79" s="122">
        <f t="shared" si="24"/>
        <v>8</v>
      </c>
      <c r="U79">
        <v>3597.45</v>
      </c>
      <c r="V79">
        <f>U79*1.3</f>
        <v>4676.685</v>
      </c>
      <c r="Z79">
        <f t="shared" si="26"/>
        <v>4376.69</v>
      </c>
      <c r="AA79">
        <f t="shared" si="25"/>
        <v>679.24</v>
      </c>
      <c r="AB79">
        <f t="shared" si="27"/>
        <v>4276.69</v>
      </c>
    </row>
    <row r="80" spans="1:28">
      <c r="A80" s="2">
        <v>78</v>
      </c>
      <c r="B80" s="2">
        <v>549</v>
      </c>
      <c r="C80" s="110" t="s">
        <v>181</v>
      </c>
      <c r="D80" s="2" t="s">
        <v>139</v>
      </c>
      <c r="E80" s="2" t="s">
        <v>169</v>
      </c>
      <c r="F80" s="8">
        <v>12</v>
      </c>
      <c r="G80" s="8">
        <f>F80*1.3</f>
        <v>15.6</v>
      </c>
      <c r="H80" s="8">
        <f t="shared" si="21"/>
        <v>16</v>
      </c>
      <c r="I80" s="8">
        <v>18</v>
      </c>
      <c r="J80" s="8">
        <v>6</v>
      </c>
      <c r="K80" s="114">
        <v>6</v>
      </c>
      <c r="L80" s="8">
        <v>40</v>
      </c>
      <c r="M80" s="91">
        <f t="shared" si="29"/>
        <v>52</v>
      </c>
      <c r="N80" s="8">
        <f t="shared" si="22"/>
        <v>52</v>
      </c>
      <c r="O80" s="114">
        <f>VLOOKUP(B:B,[3]Sheet6!$G$1:$H$65536,2,0)</f>
        <v>18</v>
      </c>
      <c r="P80" s="114">
        <f>VLOOKUP(B:B,'10月'!B:S,18,0)</f>
        <v>6</v>
      </c>
      <c r="Q80" s="114">
        <f t="shared" si="23"/>
        <v>-12</v>
      </c>
      <c r="R80" s="12">
        <f t="shared" si="30"/>
        <v>18</v>
      </c>
      <c r="S80" s="122">
        <f>R80*1.2</f>
        <v>21.6</v>
      </c>
      <c r="T80" s="122">
        <f t="shared" si="24"/>
        <v>22</v>
      </c>
      <c r="U80">
        <v>1582.55</v>
      </c>
      <c r="V80">
        <f>U80*1.5</f>
        <v>2373.825</v>
      </c>
      <c r="Z80">
        <f t="shared" si="26"/>
        <v>2073.83</v>
      </c>
      <c r="AA80">
        <f t="shared" si="25"/>
        <v>391.28</v>
      </c>
      <c r="AB80">
        <f t="shared" si="27"/>
        <v>1973.83</v>
      </c>
    </row>
    <row r="81" spans="1:28">
      <c r="A81" s="2">
        <v>79</v>
      </c>
      <c r="B81" s="2">
        <v>716</v>
      </c>
      <c r="C81" s="110" t="s">
        <v>182</v>
      </c>
      <c r="D81" s="2" t="s">
        <v>139</v>
      </c>
      <c r="E81" s="2" t="s">
        <v>169</v>
      </c>
      <c r="F81" s="8">
        <v>12</v>
      </c>
      <c r="G81" s="8">
        <f>F81*1.3</f>
        <v>15.6</v>
      </c>
      <c r="H81" s="8">
        <f t="shared" si="21"/>
        <v>16</v>
      </c>
      <c r="I81" s="8">
        <v>20</v>
      </c>
      <c r="J81" s="8">
        <v>6</v>
      </c>
      <c r="K81" s="114">
        <v>6</v>
      </c>
      <c r="L81" s="8">
        <v>55</v>
      </c>
      <c r="M81" s="91">
        <f t="shared" si="29"/>
        <v>71.5</v>
      </c>
      <c r="N81" s="8">
        <f t="shared" si="22"/>
        <v>72</v>
      </c>
      <c r="O81" s="114">
        <f>VLOOKUP(B:B,[3]Sheet6!$G$1:$H$65536,2,0)</f>
        <v>7</v>
      </c>
      <c r="P81" s="114">
        <f>VLOOKUP(B:B,'10月'!B:S,18,0)</f>
        <v>5</v>
      </c>
      <c r="Q81" s="114">
        <f t="shared" si="23"/>
        <v>-2</v>
      </c>
      <c r="R81" s="12">
        <f t="shared" si="30"/>
        <v>7</v>
      </c>
      <c r="S81" s="122">
        <f>R81*1.4</f>
        <v>9.8</v>
      </c>
      <c r="T81" s="122">
        <f t="shared" si="24"/>
        <v>10</v>
      </c>
      <c r="U81">
        <v>4124.52</v>
      </c>
      <c r="V81">
        <f>U81*1.3</f>
        <v>5361.876</v>
      </c>
      <c r="Z81">
        <f>ROUND(V81-500,2)</f>
        <v>4861.88</v>
      </c>
      <c r="AA81">
        <f t="shared" si="25"/>
        <v>637.36</v>
      </c>
      <c r="AB81">
        <f t="shared" si="27"/>
        <v>4761.88</v>
      </c>
    </row>
    <row r="82" s="14" customFormat="1" spans="1:28">
      <c r="A82" s="2">
        <v>80</v>
      </c>
      <c r="B82" s="2">
        <v>732</v>
      </c>
      <c r="C82" s="110" t="s">
        <v>183</v>
      </c>
      <c r="D82" s="2" t="s">
        <v>139</v>
      </c>
      <c r="E82" s="2" t="s">
        <v>169</v>
      </c>
      <c r="F82" s="8">
        <v>4</v>
      </c>
      <c r="G82" s="8">
        <f>F82*1.4</f>
        <v>5.6</v>
      </c>
      <c r="H82" s="8">
        <f t="shared" si="21"/>
        <v>6</v>
      </c>
      <c r="I82" s="8" t="e">
        <v>#N/A</v>
      </c>
      <c r="J82" s="8">
        <v>6</v>
      </c>
      <c r="K82" s="114">
        <v>-2</v>
      </c>
      <c r="L82" s="8">
        <v>61</v>
      </c>
      <c r="M82" s="91">
        <f t="shared" si="29"/>
        <v>79.3</v>
      </c>
      <c r="N82" s="8">
        <f t="shared" si="22"/>
        <v>79</v>
      </c>
      <c r="O82" s="114">
        <f>VLOOKUP(B:B,[3]Sheet6!$G$1:$H$65536,2,0)</f>
        <v>6</v>
      </c>
      <c r="P82" s="114">
        <f>VLOOKUP(B:B,'10月'!B:S,18,0)</f>
        <v>2</v>
      </c>
      <c r="Q82" s="114">
        <f t="shared" si="23"/>
        <v>-4</v>
      </c>
      <c r="R82" s="12">
        <f t="shared" si="30"/>
        <v>6</v>
      </c>
      <c r="S82" s="122">
        <f>R82*1.4</f>
        <v>8.4</v>
      </c>
      <c r="T82" s="122">
        <f t="shared" si="24"/>
        <v>8</v>
      </c>
      <c r="U82">
        <v>4579.29</v>
      </c>
      <c r="V82">
        <f>U82*1.3</f>
        <v>5953.077</v>
      </c>
      <c r="Z82">
        <f>ROUND(V82-500,2)</f>
        <v>5453.08</v>
      </c>
      <c r="AA82">
        <f t="shared" si="25"/>
        <v>773.79</v>
      </c>
      <c r="AB82">
        <f t="shared" si="27"/>
        <v>5353.08</v>
      </c>
    </row>
    <row r="83" spans="1:28">
      <c r="A83" s="2">
        <v>81</v>
      </c>
      <c r="B83" s="101">
        <v>102567</v>
      </c>
      <c r="C83" s="111" t="s">
        <v>184</v>
      </c>
      <c r="D83" s="2" t="s">
        <v>109</v>
      </c>
      <c r="E83" s="2" t="s">
        <v>185</v>
      </c>
      <c r="F83" s="8">
        <v>4</v>
      </c>
      <c r="G83" s="8">
        <f>F83*1.4</f>
        <v>5.6</v>
      </c>
      <c r="H83" s="8">
        <f t="shared" si="21"/>
        <v>6</v>
      </c>
      <c r="I83" s="8" t="e">
        <v>#N/A</v>
      </c>
      <c r="J83" s="8">
        <v>6</v>
      </c>
      <c r="K83" s="114">
        <v>-2</v>
      </c>
      <c r="L83" s="8">
        <v>40</v>
      </c>
      <c r="M83" s="91">
        <f t="shared" si="29"/>
        <v>52</v>
      </c>
      <c r="N83" s="8">
        <f t="shared" si="22"/>
        <v>52</v>
      </c>
      <c r="O83" s="114">
        <f>VLOOKUP(B:B,[3]Sheet6!$G$1:$H$65536,2,0)</f>
        <v>13</v>
      </c>
      <c r="P83" s="114">
        <f>VLOOKUP(B:B,'10月'!B:S,18,0)</f>
        <v>4</v>
      </c>
      <c r="Q83" s="114">
        <f t="shared" si="23"/>
        <v>-9</v>
      </c>
      <c r="R83" s="12">
        <f t="shared" si="30"/>
        <v>13</v>
      </c>
      <c r="S83" s="122">
        <f>R83*1.2</f>
        <v>15.6</v>
      </c>
      <c r="T83" s="122">
        <f t="shared" si="24"/>
        <v>16</v>
      </c>
      <c r="U83">
        <v>1633.3</v>
      </c>
      <c r="V83">
        <f>U83*1.5</f>
        <v>2449.95</v>
      </c>
      <c r="W83">
        <f>VLOOKUP(B:B,[3]Sheet10!$G$1:$H$65536,2,0)</f>
        <v>1020.34</v>
      </c>
      <c r="X83">
        <f>VLOOKUP(B:B,'10月'!B:AB,27,0)</f>
        <v>1633.3</v>
      </c>
      <c r="Y83">
        <f>X83-W83</f>
        <v>612.96</v>
      </c>
      <c r="Z83">
        <f t="shared" si="26"/>
        <v>2149.95</v>
      </c>
      <c r="AA83">
        <f t="shared" si="25"/>
        <v>416.65</v>
      </c>
      <c r="AB83">
        <f t="shared" si="27"/>
        <v>2049.95</v>
      </c>
    </row>
    <row r="84" spans="1:28">
      <c r="A84" s="2">
        <v>82</v>
      </c>
      <c r="B84" s="101">
        <v>104533</v>
      </c>
      <c r="C84" s="112" t="s">
        <v>186</v>
      </c>
      <c r="D84" s="113"/>
      <c r="E84" s="113" t="s">
        <v>185</v>
      </c>
      <c r="F84" s="8">
        <v>4</v>
      </c>
      <c r="G84" s="8">
        <f>F84*1.4</f>
        <v>5.6</v>
      </c>
      <c r="H84" s="8">
        <f t="shared" si="21"/>
        <v>6</v>
      </c>
      <c r="I84" s="8" t="e">
        <v>#N/A</v>
      </c>
      <c r="J84" s="8" t="e">
        <v>#N/A</v>
      </c>
      <c r="K84" s="114" t="e">
        <v>#N/A</v>
      </c>
      <c r="L84" s="8">
        <v>40</v>
      </c>
      <c r="M84" s="91">
        <f t="shared" si="29"/>
        <v>52</v>
      </c>
      <c r="N84" s="8">
        <f t="shared" si="22"/>
        <v>52</v>
      </c>
      <c r="O84" s="114" t="e">
        <f>VLOOKUP(B:B,[3]Sheet6!$G$1:$H$65536,2,0)</f>
        <v>#N/A</v>
      </c>
      <c r="P84" s="114" t="e">
        <f>VLOOKUP(B:B,'10月'!B:S,18,0)</f>
        <v>#N/A</v>
      </c>
      <c r="Q84" s="114" t="e">
        <f t="shared" si="23"/>
        <v>#N/A</v>
      </c>
      <c r="R84" s="12">
        <v>4</v>
      </c>
      <c r="S84" s="122">
        <f>R84*1.4</f>
        <v>5.6</v>
      </c>
      <c r="T84" s="122">
        <f t="shared" si="24"/>
        <v>6</v>
      </c>
      <c r="U84">
        <v>800</v>
      </c>
      <c r="V84">
        <f>U84*1.6</f>
        <v>1280</v>
      </c>
      <c r="W84" t="e">
        <f>VLOOKUP(B:B,[3]Sheet10!$G$1:$H$65536,2,0)</f>
        <v>#N/A</v>
      </c>
      <c r="X84" t="e">
        <f>VLOOKUP(B:B,'10月'!B:AB,27,0)</f>
        <v>#N/A</v>
      </c>
      <c r="Y84" t="e">
        <f>X84-W84</f>
        <v>#N/A</v>
      </c>
      <c r="Z84">
        <f t="shared" si="26"/>
        <v>980</v>
      </c>
      <c r="AA84">
        <f t="shared" si="25"/>
        <v>180</v>
      </c>
      <c r="AB84">
        <f>Z84</f>
        <v>980</v>
      </c>
    </row>
    <row r="85" spans="1:28">
      <c r="A85" s="2">
        <v>83</v>
      </c>
      <c r="B85" s="2">
        <v>367</v>
      </c>
      <c r="C85" s="110" t="s">
        <v>187</v>
      </c>
      <c r="D85" s="2" t="s">
        <v>109</v>
      </c>
      <c r="E85" s="2" t="s">
        <v>188</v>
      </c>
      <c r="F85" s="8">
        <v>14</v>
      </c>
      <c r="G85" s="8">
        <f t="shared" ref="G85:G93" si="31">F85*1.3</f>
        <v>18.2</v>
      </c>
      <c r="H85" s="8">
        <f t="shared" si="21"/>
        <v>18</v>
      </c>
      <c r="I85" s="8">
        <v>13</v>
      </c>
      <c r="J85" s="8">
        <v>17</v>
      </c>
      <c r="K85" s="114">
        <v>-3</v>
      </c>
      <c r="L85" s="8">
        <v>113</v>
      </c>
      <c r="M85" s="8">
        <f>L85*1.18</f>
        <v>133.34</v>
      </c>
      <c r="N85" s="8">
        <f t="shared" si="22"/>
        <v>133</v>
      </c>
      <c r="O85" s="114">
        <f>VLOOKUP(B:B,[3]Sheet6!$G$1:$H$65536,2,0)</f>
        <v>12</v>
      </c>
      <c r="P85" s="114">
        <f>VLOOKUP(B:B,'10月'!B:S,18,0)</f>
        <v>10</v>
      </c>
      <c r="Q85" s="114">
        <f t="shared" si="23"/>
        <v>-2</v>
      </c>
      <c r="R85" s="12">
        <f t="shared" si="30"/>
        <v>12</v>
      </c>
      <c r="S85" s="122">
        <f>R85*1.2</f>
        <v>14.4</v>
      </c>
      <c r="T85" s="122">
        <f t="shared" si="24"/>
        <v>14</v>
      </c>
      <c r="U85">
        <v>2596.21</v>
      </c>
      <c r="V85">
        <f>U85*1.4</f>
        <v>3634.694</v>
      </c>
      <c r="Z85">
        <f t="shared" si="26"/>
        <v>3334.69</v>
      </c>
      <c r="AA85">
        <f t="shared" si="25"/>
        <v>638.48</v>
      </c>
      <c r="AB85">
        <f t="shared" ref="AB85:AB96" si="32">Z85-100</f>
        <v>3234.69</v>
      </c>
    </row>
    <row r="86" spans="1:28">
      <c r="A86" s="2">
        <v>84</v>
      </c>
      <c r="B86" s="2">
        <v>54</v>
      </c>
      <c r="C86" s="110" t="s">
        <v>189</v>
      </c>
      <c r="D86" s="2" t="s">
        <v>104</v>
      </c>
      <c r="E86" s="2" t="s">
        <v>188</v>
      </c>
      <c r="F86" s="8">
        <v>14</v>
      </c>
      <c r="G86" s="8">
        <f t="shared" si="31"/>
        <v>18.2</v>
      </c>
      <c r="H86" s="8">
        <f t="shared" si="21"/>
        <v>18</v>
      </c>
      <c r="I86" s="8">
        <v>3</v>
      </c>
      <c r="J86" s="8">
        <v>17</v>
      </c>
      <c r="K86" s="114">
        <v>-3</v>
      </c>
      <c r="L86" s="8">
        <v>170</v>
      </c>
      <c r="M86" s="8">
        <f>L86*1.13</f>
        <v>192.1</v>
      </c>
      <c r="N86" s="8">
        <f t="shared" si="22"/>
        <v>192</v>
      </c>
      <c r="O86" s="114">
        <f>VLOOKUP(B:B,[3]Sheet6!$G$1:$H$65536,2,0)</f>
        <v>14</v>
      </c>
      <c r="P86" s="114">
        <f>VLOOKUP(B:B,'10月'!B:S,18,0)</f>
        <v>24</v>
      </c>
      <c r="Q86" s="114">
        <f t="shared" si="23"/>
        <v>10</v>
      </c>
      <c r="R86" s="12">
        <v>24</v>
      </c>
      <c r="S86" s="122">
        <f>R86*1.15</f>
        <v>27.6</v>
      </c>
      <c r="T86" s="122">
        <f t="shared" si="24"/>
        <v>28</v>
      </c>
      <c r="U86">
        <v>13300.45</v>
      </c>
      <c r="V86">
        <f>U86*1.08</f>
        <v>14364.486</v>
      </c>
      <c r="Z86">
        <f t="shared" si="26"/>
        <v>14064.49</v>
      </c>
      <c r="AA86">
        <f t="shared" si="25"/>
        <v>664.039999999999</v>
      </c>
      <c r="AB86">
        <f t="shared" si="32"/>
        <v>13964.49</v>
      </c>
    </row>
    <row r="87" spans="1:28">
      <c r="A87" s="2">
        <v>85</v>
      </c>
      <c r="B87" s="2">
        <v>52</v>
      </c>
      <c r="C87" s="110" t="s">
        <v>190</v>
      </c>
      <c r="D87" s="2" t="s">
        <v>104</v>
      </c>
      <c r="E87" s="2" t="s">
        <v>188</v>
      </c>
      <c r="F87" s="8">
        <v>14</v>
      </c>
      <c r="G87" s="8">
        <f t="shared" si="31"/>
        <v>18.2</v>
      </c>
      <c r="H87" s="8">
        <f t="shared" si="21"/>
        <v>18</v>
      </c>
      <c r="I87" s="8">
        <v>3</v>
      </c>
      <c r="J87" s="8">
        <v>17</v>
      </c>
      <c r="K87" s="114">
        <v>-3</v>
      </c>
      <c r="L87" s="8">
        <v>80</v>
      </c>
      <c r="M87" s="91">
        <f t="shared" ref="M87:M102" si="33">L87*1.3</f>
        <v>104</v>
      </c>
      <c r="N87" s="8">
        <f t="shared" si="22"/>
        <v>104</v>
      </c>
      <c r="O87" s="114">
        <f>VLOOKUP(B:B,[3]Sheet6!$G$1:$H$65536,2,0)</f>
        <v>13</v>
      </c>
      <c r="P87" s="114">
        <f>VLOOKUP(B:B,'10月'!B:S,18,0)</f>
        <v>15</v>
      </c>
      <c r="Q87" s="114">
        <f t="shared" si="23"/>
        <v>2</v>
      </c>
      <c r="R87" s="12">
        <v>15</v>
      </c>
      <c r="S87" s="122">
        <f>R87*1.2</f>
        <v>18</v>
      </c>
      <c r="T87" s="122">
        <f t="shared" si="24"/>
        <v>18</v>
      </c>
      <c r="U87">
        <v>2826.91</v>
      </c>
      <c r="V87">
        <f>U87*1.4</f>
        <v>3957.674</v>
      </c>
      <c r="Z87">
        <f>ROUND(V87-400,2)</f>
        <v>3557.67</v>
      </c>
      <c r="AA87">
        <f t="shared" si="25"/>
        <v>630.76</v>
      </c>
      <c r="AB87">
        <f t="shared" si="32"/>
        <v>3457.67</v>
      </c>
    </row>
    <row r="88" spans="1:28">
      <c r="A88" s="2">
        <v>86</v>
      </c>
      <c r="B88" s="2">
        <v>587</v>
      </c>
      <c r="C88" s="110" t="s">
        <v>191</v>
      </c>
      <c r="D88" s="2" t="s">
        <v>104</v>
      </c>
      <c r="E88" s="2" t="s">
        <v>188</v>
      </c>
      <c r="F88" s="8">
        <v>15</v>
      </c>
      <c r="G88" s="8">
        <f t="shared" si="31"/>
        <v>19.5</v>
      </c>
      <c r="H88" s="8">
        <f t="shared" si="21"/>
        <v>20</v>
      </c>
      <c r="I88" s="8">
        <v>14</v>
      </c>
      <c r="J88" s="8">
        <v>17</v>
      </c>
      <c r="K88" s="114">
        <v>-2</v>
      </c>
      <c r="L88" s="8">
        <v>95</v>
      </c>
      <c r="M88" s="91">
        <f t="shared" si="33"/>
        <v>123.5</v>
      </c>
      <c r="N88" s="8">
        <f t="shared" si="22"/>
        <v>124</v>
      </c>
      <c r="O88" s="114">
        <f>VLOOKUP(B:B,[3]Sheet6!$G$1:$H$65536,2,0)</f>
        <v>9</v>
      </c>
      <c r="P88" s="114">
        <f>VLOOKUP(B:B,'10月'!B:S,18,0)</f>
        <v>16</v>
      </c>
      <c r="Q88" s="114">
        <f t="shared" si="23"/>
        <v>7</v>
      </c>
      <c r="R88" s="12">
        <v>12</v>
      </c>
      <c r="S88" s="122">
        <f>R88*1.2</f>
        <v>14.4</v>
      </c>
      <c r="T88" s="122">
        <f t="shared" si="24"/>
        <v>14</v>
      </c>
      <c r="U88">
        <v>3025.31</v>
      </c>
      <c r="V88">
        <f>U88*1.3</f>
        <v>3932.903</v>
      </c>
      <c r="Z88">
        <f t="shared" si="26"/>
        <v>3632.9</v>
      </c>
      <c r="AA88">
        <f t="shared" si="25"/>
        <v>507.59</v>
      </c>
      <c r="AB88">
        <f t="shared" si="32"/>
        <v>3532.9</v>
      </c>
    </row>
    <row r="89" spans="1:28">
      <c r="A89" s="2">
        <v>87</v>
      </c>
      <c r="B89" s="2">
        <v>329</v>
      </c>
      <c r="C89" s="110" t="s">
        <v>192</v>
      </c>
      <c r="D89" s="2" t="s">
        <v>95</v>
      </c>
      <c r="E89" s="2" t="s">
        <v>188</v>
      </c>
      <c r="F89" s="8">
        <v>16</v>
      </c>
      <c r="G89" s="8">
        <f t="shared" si="31"/>
        <v>20.8</v>
      </c>
      <c r="H89" s="8">
        <f t="shared" si="21"/>
        <v>21</v>
      </c>
      <c r="I89" s="8" t="e">
        <v>#N/A</v>
      </c>
      <c r="J89" s="8">
        <v>20</v>
      </c>
      <c r="K89" s="114">
        <v>-4</v>
      </c>
      <c r="L89" s="8">
        <v>78</v>
      </c>
      <c r="M89" s="91">
        <f t="shared" si="33"/>
        <v>101.4</v>
      </c>
      <c r="N89" s="8">
        <f t="shared" si="22"/>
        <v>101</v>
      </c>
      <c r="O89" s="114">
        <f>VLOOKUP(B:B,[3]Sheet6!$G$1:$H$65536,2,0)</f>
        <v>25</v>
      </c>
      <c r="P89" s="114">
        <f>VLOOKUP(B:B,'10月'!B:S,18,0)</f>
        <v>27</v>
      </c>
      <c r="Q89" s="114">
        <f t="shared" si="23"/>
        <v>2</v>
      </c>
      <c r="R89" s="12">
        <v>27</v>
      </c>
      <c r="S89" s="122">
        <f>R89*1.15</f>
        <v>31.05</v>
      </c>
      <c r="T89" s="122">
        <f t="shared" si="24"/>
        <v>31</v>
      </c>
      <c r="U89">
        <v>9766.08</v>
      </c>
      <c r="V89">
        <f>U89*1.18</f>
        <v>11523.9744</v>
      </c>
      <c r="Z89">
        <f>ROUND(V89-700,2)</f>
        <v>10823.97</v>
      </c>
      <c r="AA89">
        <f t="shared" si="25"/>
        <v>957.889999999999</v>
      </c>
      <c r="AB89">
        <f t="shared" si="32"/>
        <v>10723.97</v>
      </c>
    </row>
    <row r="90" spans="1:28">
      <c r="A90" s="2">
        <v>88</v>
      </c>
      <c r="B90" s="2">
        <v>754</v>
      </c>
      <c r="C90" s="110" t="s">
        <v>193</v>
      </c>
      <c r="D90" s="2" t="s">
        <v>139</v>
      </c>
      <c r="E90" s="2" t="s">
        <v>188</v>
      </c>
      <c r="F90" s="8">
        <v>15</v>
      </c>
      <c r="G90" s="8">
        <f t="shared" si="31"/>
        <v>19.5</v>
      </c>
      <c r="H90" s="8">
        <f t="shared" si="21"/>
        <v>20</v>
      </c>
      <c r="I90" s="8">
        <v>15</v>
      </c>
      <c r="J90" s="8">
        <v>12</v>
      </c>
      <c r="K90" s="114">
        <v>3</v>
      </c>
      <c r="L90" s="8">
        <v>86</v>
      </c>
      <c r="M90" s="91">
        <f t="shared" si="33"/>
        <v>111.8</v>
      </c>
      <c r="N90" s="8">
        <f t="shared" si="22"/>
        <v>112</v>
      </c>
      <c r="O90" s="114">
        <f>VLOOKUP(B:B,[3]Sheet6!$G$1:$H$65536,2,0)</f>
        <v>6</v>
      </c>
      <c r="P90" s="114">
        <f>VLOOKUP(B:B,'10月'!B:S,18,0)</f>
        <v>2</v>
      </c>
      <c r="Q90" s="114">
        <f t="shared" si="23"/>
        <v>-4</v>
      </c>
      <c r="R90" s="12">
        <f>O90</f>
        <v>6</v>
      </c>
      <c r="S90" s="122">
        <f>R90*1.4</f>
        <v>8.4</v>
      </c>
      <c r="T90" s="122">
        <f t="shared" si="24"/>
        <v>8</v>
      </c>
      <c r="U90">
        <v>1319.25</v>
      </c>
      <c r="V90">
        <f>U90*1.5</f>
        <v>1978.875</v>
      </c>
      <c r="Z90">
        <f t="shared" si="26"/>
        <v>1678.88</v>
      </c>
      <c r="AA90">
        <f t="shared" si="25"/>
        <v>259.63</v>
      </c>
      <c r="AB90">
        <f t="shared" si="32"/>
        <v>1578.88</v>
      </c>
    </row>
    <row r="91" spans="1:28">
      <c r="A91" s="2">
        <v>89</v>
      </c>
      <c r="B91" s="2">
        <v>704</v>
      </c>
      <c r="C91" s="110" t="s">
        <v>194</v>
      </c>
      <c r="D91" s="2" t="s">
        <v>107</v>
      </c>
      <c r="E91" s="2" t="s">
        <v>188</v>
      </c>
      <c r="F91" s="8">
        <v>17</v>
      </c>
      <c r="G91" s="8">
        <f t="shared" si="31"/>
        <v>22.1</v>
      </c>
      <c r="H91" s="8">
        <f t="shared" si="21"/>
        <v>22</v>
      </c>
      <c r="I91" s="8">
        <v>18</v>
      </c>
      <c r="J91" s="8">
        <v>17</v>
      </c>
      <c r="K91" s="114">
        <v>0</v>
      </c>
      <c r="L91" s="8">
        <v>71</v>
      </c>
      <c r="M91" s="91">
        <f t="shared" si="33"/>
        <v>92.3</v>
      </c>
      <c r="N91" s="8">
        <f t="shared" si="22"/>
        <v>92</v>
      </c>
      <c r="O91" s="114">
        <f>VLOOKUP(B:B,[3]Sheet6!$G$1:$H$65536,2,0)</f>
        <v>10</v>
      </c>
      <c r="P91" s="114">
        <f>VLOOKUP(B:B,'10月'!B:S,18,0)</f>
        <v>4</v>
      </c>
      <c r="Q91" s="114">
        <f t="shared" si="23"/>
        <v>-6</v>
      </c>
      <c r="R91" s="12">
        <f>O91</f>
        <v>10</v>
      </c>
      <c r="S91" s="122">
        <f>R91*1.4</f>
        <v>14</v>
      </c>
      <c r="T91" s="122">
        <f t="shared" si="24"/>
        <v>14</v>
      </c>
      <c r="U91">
        <v>2535.52</v>
      </c>
      <c r="V91">
        <f>U91*1.4</f>
        <v>3549.728</v>
      </c>
      <c r="Z91">
        <f t="shared" si="26"/>
        <v>3249.73</v>
      </c>
      <c r="AA91">
        <f t="shared" si="25"/>
        <v>614.21</v>
      </c>
      <c r="AB91">
        <f t="shared" si="32"/>
        <v>3149.73</v>
      </c>
    </row>
    <row r="92" spans="1:28">
      <c r="A92" s="2">
        <v>90</v>
      </c>
      <c r="B92" s="2">
        <v>56</v>
      </c>
      <c r="C92" s="110" t="s">
        <v>195</v>
      </c>
      <c r="D92" s="2" t="s">
        <v>139</v>
      </c>
      <c r="E92" s="2" t="s">
        <v>188</v>
      </c>
      <c r="F92" s="8">
        <v>12</v>
      </c>
      <c r="G92" s="8">
        <f t="shared" si="31"/>
        <v>15.6</v>
      </c>
      <c r="H92" s="8">
        <f t="shared" si="21"/>
        <v>16</v>
      </c>
      <c r="I92" s="8">
        <v>14</v>
      </c>
      <c r="J92" s="8">
        <v>6</v>
      </c>
      <c r="K92" s="114">
        <v>6</v>
      </c>
      <c r="L92" s="8">
        <v>90</v>
      </c>
      <c r="M92" s="91">
        <f t="shared" si="33"/>
        <v>117</v>
      </c>
      <c r="N92" s="8">
        <f t="shared" si="22"/>
        <v>117</v>
      </c>
      <c r="O92" s="114">
        <f>VLOOKUP(B:B,[3]Sheet6!$G$1:$H$65536,2,0)</f>
        <v>9</v>
      </c>
      <c r="P92" s="114">
        <f>VLOOKUP(B:B,'10月'!B:S,18,0)</f>
        <v>11</v>
      </c>
      <c r="Q92" s="114">
        <f t="shared" si="23"/>
        <v>2</v>
      </c>
      <c r="R92" s="12">
        <v>11</v>
      </c>
      <c r="S92" s="122">
        <f>R92*1.2</f>
        <v>13.2</v>
      </c>
      <c r="T92" s="122">
        <f t="shared" si="24"/>
        <v>13</v>
      </c>
      <c r="U92">
        <v>9753.34</v>
      </c>
      <c r="V92">
        <f>U92*1.18</f>
        <v>11508.9412</v>
      </c>
      <c r="Z92">
        <f>ROUND(V92-700,2)</f>
        <v>10808.94</v>
      </c>
      <c r="AA92">
        <f t="shared" si="25"/>
        <v>955.6</v>
      </c>
      <c r="AB92">
        <f t="shared" si="32"/>
        <v>10708.94</v>
      </c>
    </row>
    <row r="93" spans="1:28">
      <c r="A93" s="2">
        <v>91</v>
      </c>
      <c r="B93" s="2">
        <v>351</v>
      </c>
      <c r="C93" s="110" t="s">
        <v>196</v>
      </c>
      <c r="D93" s="2" t="s">
        <v>104</v>
      </c>
      <c r="E93" s="2" t="s">
        <v>188</v>
      </c>
      <c r="F93" s="8">
        <v>14</v>
      </c>
      <c r="G93" s="8">
        <f t="shared" si="31"/>
        <v>18.2</v>
      </c>
      <c r="H93" s="8">
        <f t="shared" si="21"/>
        <v>18</v>
      </c>
      <c r="I93" s="8">
        <v>3</v>
      </c>
      <c r="J93" s="8">
        <v>17</v>
      </c>
      <c r="K93" s="114">
        <v>-3</v>
      </c>
      <c r="L93" s="8">
        <v>58</v>
      </c>
      <c r="M93" s="91">
        <f t="shared" si="33"/>
        <v>75.4</v>
      </c>
      <c r="N93" s="8">
        <f t="shared" si="22"/>
        <v>75</v>
      </c>
      <c r="O93" s="114">
        <f>VLOOKUP(B:B,[3]Sheet6!$G$1:$H$65536,2,0)</f>
        <v>6</v>
      </c>
      <c r="P93" s="114">
        <f>VLOOKUP(B:B,'10月'!B:S,18,0)</f>
        <v>5</v>
      </c>
      <c r="Q93" s="114">
        <f t="shared" si="23"/>
        <v>-1</v>
      </c>
      <c r="R93" s="12">
        <f>O93</f>
        <v>6</v>
      </c>
      <c r="S93" s="122">
        <f>R93*1.4</f>
        <v>8.4</v>
      </c>
      <c r="T93" s="122">
        <f t="shared" si="24"/>
        <v>8</v>
      </c>
      <c r="U93">
        <v>8663.1</v>
      </c>
      <c r="V93">
        <f>U93*1.18</f>
        <v>10222.458</v>
      </c>
      <c r="Z93">
        <f>ROUND(V93-500,2)</f>
        <v>9722.46</v>
      </c>
      <c r="AA93">
        <f t="shared" si="25"/>
        <v>959.359999999999</v>
      </c>
      <c r="AB93">
        <f t="shared" si="32"/>
        <v>9622.46</v>
      </c>
    </row>
    <row r="94" spans="1:28">
      <c r="A94" s="2">
        <v>92</v>
      </c>
      <c r="B94" s="2">
        <v>706</v>
      </c>
      <c r="C94" s="110" t="s">
        <v>197</v>
      </c>
      <c r="D94" s="2" t="s">
        <v>113</v>
      </c>
      <c r="E94" s="2" t="s">
        <v>188</v>
      </c>
      <c r="F94" s="8">
        <v>4</v>
      </c>
      <c r="G94" s="8">
        <f>F94*1.4</f>
        <v>5.6</v>
      </c>
      <c r="H94" s="8">
        <f t="shared" si="21"/>
        <v>6</v>
      </c>
      <c r="I94" s="8">
        <v>1</v>
      </c>
      <c r="J94" s="8">
        <v>6</v>
      </c>
      <c r="K94" s="114">
        <v>-2</v>
      </c>
      <c r="L94" s="8">
        <v>40</v>
      </c>
      <c r="M94" s="91">
        <f t="shared" si="33"/>
        <v>52</v>
      </c>
      <c r="N94" s="8">
        <f t="shared" si="22"/>
        <v>52</v>
      </c>
      <c r="O94" s="114">
        <f>VLOOKUP(B:B,[3]Sheet6!$G$1:$H$65536,2,0)</f>
        <v>1</v>
      </c>
      <c r="P94" s="114">
        <f>VLOOKUP(B:B,'10月'!B:S,18,0)</f>
        <v>11</v>
      </c>
      <c r="Q94" s="114">
        <f t="shared" si="23"/>
        <v>10</v>
      </c>
      <c r="R94" s="12">
        <v>11</v>
      </c>
      <c r="S94" s="122">
        <f>R94*1.2</f>
        <v>13.2</v>
      </c>
      <c r="T94" s="122">
        <f t="shared" si="24"/>
        <v>13</v>
      </c>
      <c r="U94">
        <v>2728.04</v>
      </c>
      <c r="V94">
        <f>U94*1.4</f>
        <v>3819.256</v>
      </c>
      <c r="Z94">
        <f t="shared" si="26"/>
        <v>3519.26</v>
      </c>
      <c r="AA94">
        <f t="shared" si="25"/>
        <v>691.22</v>
      </c>
      <c r="AB94">
        <f t="shared" si="32"/>
        <v>3419.26</v>
      </c>
    </row>
    <row r="95" spans="1:28">
      <c r="A95" s="2">
        <v>93</v>
      </c>
      <c r="B95" s="2">
        <v>710</v>
      </c>
      <c r="C95" s="110" t="s">
        <v>198</v>
      </c>
      <c r="D95" s="2" t="s">
        <v>113</v>
      </c>
      <c r="E95" s="2" t="s">
        <v>188</v>
      </c>
      <c r="F95" s="8">
        <v>9</v>
      </c>
      <c r="G95" s="8">
        <f>F95*1.4</f>
        <v>12.6</v>
      </c>
      <c r="H95" s="8">
        <f t="shared" si="21"/>
        <v>13</v>
      </c>
      <c r="I95" s="8">
        <v>9</v>
      </c>
      <c r="J95" s="8">
        <v>6</v>
      </c>
      <c r="K95" s="114">
        <v>3</v>
      </c>
      <c r="L95" s="8">
        <v>76</v>
      </c>
      <c r="M95" s="91">
        <f t="shared" si="33"/>
        <v>98.8</v>
      </c>
      <c r="N95" s="8">
        <f t="shared" si="22"/>
        <v>99</v>
      </c>
      <c r="O95" s="114">
        <f>VLOOKUP(B:B,[3]Sheet6!$G$1:$H$65536,2,0)</f>
        <v>7</v>
      </c>
      <c r="P95" s="114">
        <f>VLOOKUP(B:B,'10月'!B:S,18,0)</f>
        <v>2</v>
      </c>
      <c r="Q95" s="114">
        <f t="shared" si="23"/>
        <v>-5</v>
      </c>
      <c r="R95" s="12">
        <f>O95</f>
        <v>7</v>
      </c>
      <c r="S95" s="122">
        <f t="shared" ref="S95:S102" si="34">R95*1.4</f>
        <v>9.8</v>
      </c>
      <c r="T95" s="122">
        <f t="shared" si="24"/>
        <v>10</v>
      </c>
      <c r="U95">
        <v>1920.02</v>
      </c>
      <c r="V95">
        <f>U95*1.5</f>
        <v>2880.03</v>
      </c>
      <c r="Z95">
        <f t="shared" si="26"/>
        <v>2580.03</v>
      </c>
      <c r="AA95">
        <f t="shared" si="25"/>
        <v>560.01</v>
      </c>
      <c r="AB95">
        <f t="shared" si="32"/>
        <v>2480.03</v>
      </c>
    </row>
    <row r="96" spans="1:28">
      <c r="A96" s="2">
        <v>94</v>
      </c>
      <c r="B96" s="2">
        <v>738</v>
      </c>
      <c r="C96" s="110" t="s">
        <v>199</v>
      </c>
      <c r="D96" s="2" t="s">
        <v>139</v>
      </c>
      <c r="E96" s="2" t="s">
        <v>188</v>
      </c>
      <c r="F96" s="8">
        <v>10</v>
      </c>
      <c r="G96" s="8">
        <f>F96*1.3</f>
        <v>13</v>
      </c>
      <c r="H96" s="8">
        <f t="shared" si="21"/>
        <v>13</v>
      </c>
      <c r="I96" s="8">
        <v>10</v>
      </c>
      <c r="J96" s="8">
        <v>6</v>
      </c>
      <c r="K96" s="114">
        <v>4</v>
      </c>
      <c r="L96" s="8">
        <v>70</v>
      </c>
      <c r="M96" s="91">
        <f t="shared" si="33"/>
        <v>91</v>
      </c>
      <c r="N96" s="8">
        <f t="shared" si="22"/>
        <v>91</v>
      </c>
      <c r="O96" s="114">
        <f>VLOOKUP(B:B,[3]Sheet6!$G$1:$H$65536,2,0)</f>
        <v>8</v>
      </c>
      <c r="P96" s="114">
        <f>VLOOKUP(B:B,'10月'!B:S,18,0)</f>
        <v>7</v>
      </c>
      <c r="Q96" s="114">
        <f t="shared" si="23"/>
        <v>-1</v>
      </c>
      <c r="R96" s="12">
        <f>O96</f>
        <v>8</v>
      </c>
      <c r="S96" s="122">
        <f t="shared" si="34"/>
        <v>11.2</v>
      </c>
      <c r="T96" s="122">
        <f t="shared" si="24"/>
        <v>11</v>
      </c>
      <c r="U96">
        <v>2399.01</v>
      </c>
      <c r="V96">
        <f>U96*1.4</f>
        <v>3358.614</v>
      </c>
      <c r="Z96">
        <f t="shared" si="26"/>
        <v>3058.61</v>
      </c>
      <c r="AA96">
        <f t="shared" si="25"/>
        <v>559.6</v>
      </c>
      <c r="AB96">
        <f t="shared" si="32"/>
        <v>2958.61</v>
      </c>
    </row>
    <row r="97" customFormat="1" spans="1:28">
      <c r="A97" s="2">
        <v>95</v>
      </c>
      <c r="B97" s="2">
        <v>755</v>
      </c>
      <c r="C97" s="111" t="s">
        <v>200</v>
      </c>
      <c r="D97" s="2" t="s">
        <v>113</v>
      </c>
      <c r="E97" s="2" t="s">
        <v>188</v>
      </c>
      <c r="F97" s="8">
        <v>5</v>
      </c>
      <c r="G97" s="8">
        <f>F97*1.4</f>
        <v>7</v>
      </c>
      <c r="H97" s="8">
        <f t="shared" si="21"/>
        <v>7</v>
      </c>
      <c r="I97" s="8">
        <v>4</v>
      </c>
      <c r="J97" s="8">
        <v>6</v>
      </c>
      <c r="K97" s="114">
        <v>-1</v>
      </c>
      <c r="L97" s="8">
        <v>30</v>
      </c>
      <c r="M97" s="91">
        <f t="shared" si="33"/>
        <v>39</v>
      </c>
      <c r="N97" s="8">
        <f t="shared" si="22"/>
        <v>39</v>
      </c>
      <c r="O97" s="114" t="e">
        <f>VLOOKUP(B:B,[3]Sheet6!$G$1:$H$65536,2,0)</f>
        <v>#N/A</v>
      </c>
      <c r="P97" s="114">
        <f>VLOOKUP(B:B,'10月'!B:S,18,0)</f>
        <v>2</v>
      </c>
      <c r="Q97" s="114" t="e">
        <f t="shared" si="23"/>
        <v>#N/A</v>
      </c>
      <c r="R97" s="12">
        <v>2</v>
      </c>
      <c r="S97" s="122">
        <f t="shared" si="34"/>
        <v>2.8</v>
      </c>
      <c r="T97" s="122">
        <f t="shared" si="24"/>
        <v>3</v>
      </c>
      <c r="U97">
        <v>800</v>
      </c>
      <c r="V97">
        <f>U97*1.6</f>
        <v>1280</v>
      </c>
      <c r="W97">
        <f>VLOOKUP(B:B,[3]Sheet10!$G$1:$H$65536,2,0)</f>
        <v>1099.84</v>
      </c>
      <c r="X97">
        <f>VLOOKUP(B:B,'10月'!B:AB,27,0)</f>
        <v>677</v>
      </c>
      <c r="Y97">
        <f>X97-W97</f>
        <v>-422.84</v>
      </c>
      <c r="Z97">
        <f t="shared" si="26"/>
        <v>980</v>
      </c>
      <c r="AA97">
        <f t="shared" si="25"/>
        <v>180</v>
      </c>
      <c r="AB97">
        <f>Z97</f>
        <v>980</v>
      </c>
    </row>
    <row r="98" customFormat="1" spans="1:28">
      <c r="A98" s="2">
        <v>96</v>
      </c>
      <c r="B98" s="2">
        <v>713</v>
      </c>
      <c r="C98" s="110" t="s">
        <v>201</v>
      </c>
      <c r="D98" s="2" t="s">
        <v>113</v>
      </c>
      <c r="E98" s="2" t="s">
        <v>188</v>
      </c>
      <c r="F98" s="8">
        <v>7</v>
      </c>
      <c r="G98" s="8">
        <f>F98*1.4</f>
        <v>9.8</v>
      </c>
      <c r="H98" s="8">
        <f t="shared" si="21"/>
        <v>10</v>
      </c>
      <c r="I98" s="8">
        <v>7</v>
      </c>
      <c r="J98" s="8">
        <v>6</v>
      </c>
      <c r="K98" s="114">
        <v>1</v>
      </c>
      <c r="L98" s="8">
        <v>47</v>
      </c>
      <c r="M98" s="91">
        <f t="shared" si="33"/>
        <v>61.1</v>
      </c>
      <c r="N98" s="8">
        <f t="shared" si="22"/>
        <v>61</v>
      </c>
      <c r="O98" s="114">
        <f>VLOOKUP(B:B,[3]Sheet6!$G$1:$H$65536,2,0)</f>
        <v>2</v>
      </c>
      <c r="P98" s="114">
        <f>VLOOKUP(B:B,'10月'!B:S,18,0)</f>
        <v>2</v>
      </c>
      <c r="Q98" s="114">
        <f t="shared" si="23"/>
        <v>0</v>
      </c>
      <c r="R98" s="12">
        <v>2</v>
      </c>
      <c r="S98" s="122">
        <f t="shared" si="34"/>
        <v>2.8</v>
      </c>
      <c r="T98" s="122">
        <f t="shared" si="24"/>
        <v>3</v>
      </c>
      <c r="U98">
        <v>3213.19</v>
      </c>
      <c r="V98">
        <f>U98*1.3</f>
        <v>4177.147</v>
      </c>
      <c r="Z98">
        <f t="shared" si="26"/>
        <v>3877.15</v>
      </c>
      <c r="AA98">
        <f t="shared" si="25"/>
        <v>563.96</v>
      </c>
      <c r="AB98">
        <f>Z98-100</f>
        <v>3777.15</v>
      </c>
    </row>
    <row r="99" customFormat="1" spans="1:28">
      <c r="A99" s="2">
        <v>97</v>
      </c>
      <c r="B99" s="101">
        <v>104428</v>
      </c>
      <c r="C99" s="112" t="s">
        <v>202</v>
      </c>
      <c r="D99" s="113"/>
      <c r="E99" s="101" t="str">
        <f>VLOOKUP(B:B,[2]查询时间段分门店销售汇总!$D$1:$H$65536,5,0)</f>
        <v>城郊二片区</v>
      </c>
      <c r="F99" s="8">
        <v>10</v>
      </c>
      <c r="G99" s="8">
        <f>F99*1.3</f>
        <v>13</v>
      </c>
      <c r="H99" s="8">
        <f t="shared" si="21"/>
        <v>13</v>
      </c>
      <c r="I99" s="8">
        <v>10</v>
      </c>
      <c r="J99" s="8" t="e">
        <v>#N/A</v>
      </c>
      <c r="K99" s="114" t="e">
        <v>#N/A</v>
      </c>
      <c r="L99" s="8">
        <v>40</v>
      </c>
      <c r="M99" s="91">
        <f t="shared" si="33"/>
        <v>52</v>
      </c>
      <c r="N99" s="8">
        <f t="shared" si="22"/>
        <v>52</v>
      </c>
      <c r="O99" s="114" t="e">
        <f>VLOOKUP(B:B,[3]Sheet6!$G$1:$H$65536,2,0)</f>
        <v>#N/A</v>
      </c>
      <c r="P99" s="114" t="e">
        <f>VLOOKUP(B:B,'10月'!B:S,18,0)</f>
        <v>#N/A</v>
      </c>
      <c r="Q99" s="114" t="e">
        <f t="shared" si="23"/>
        <v>#N/A</v>
      </c>
      <c r="R99" s="12">
        <v>4</v>
      </c>
      <c r="S99" s="122">
        <f t="shared" si="34"/>
        <v>5.6</v>
      </c>
      <c r="T99" s="122">
        <f t="shared" si="24"/>
        <v>6</v>
      </c>
      <c r="U99">
        <v>900</v>
      </c>
      <c r="V99">
        <f>U99*1.6</f>
        <v>1440</v>
      </c>
      <c r="W99">
        <f>VLOOKUP(B:B,[3]Sheet10!$G$1:$H$65536,2,0)</f>
        <v>1376.5</v>
      </c>
      <c r="X99" t="e">
        <f>VLOOKUP(B:B,'10月'!B:AB,27,0)</f>
        <v>#N/A</v>
      </c>
      <c r="Y99" t="e">
        <f>X99-W99</f>
        <v>#N/A</v>
      </c>
      <c r="Z99">
        <f t="shared" si="26"/>
        <v>1140</v>
      </c>
      <c r="AA99">
        <f t="shared" si="25"/>
        <v>240</v>
      </c>
      <c r="AB99">
        <f>Z99</f>
        <v>1140</v>
      </c>
    </row>
    <row r="100" customFormat="1" spans="1:28">
      <c r="A100" s="2">
        <v>98</v>
      </c>
      <c r="B100" s="101">
        <v>101453</v>
      </c>
      <c r="C100" s="111" t="s">
        <v>203</v>
      </c>
      <c r="D100" s="2" t="s">
        <v>109</v>
      </c>
      <c r="E100" s="2" t="s">
        <v>204</v>
      </c>
      <c r="F100" s="8">
        <v>18</v>
      </c>
      <c r="G100" s="8">
        <f>F100*1.3</f>
        <v>23.4</v>
      </c>
      <c r="H100" s="8">
        <f t="shared" si="21"/>
        <v>23</v>
      </c>
      <c r="I100" s="8">
        <v>20</v>
      </c>
      <c r="J100" s="8">
        <v>6</v>
      </c>
      <c r="K100" s="114">
        <v>12</v>
      </c>
      <c r="L100" s="8">
        <v>74</v>
      </c>
      <c r="M100" s="91">
        <f t="shared" si="33"/>
        <v>96.2</v>
      </c>
      <c r="N100" s="8">
        <f t="shared" si="22"/>
        <v>96</v>
      </c>
      <c r="O100" s="114">
        <f>VLOOKUP(B:B,[3]Sheet6!$G$1:$H$65536,2,0)</f>
        <v>4</v>
      </c>
      <c r="P100" s="114">
        <f>VLOOKUP(B:B,'10月'!B:S,18,0)</f>
        <v>9</v>
      </c>
      <c r="Q100" s="114">
        <f t="shared" si="23"/>
        <v>5</v>
      </c>
      <c r="R100" s="12">
        <v>9</v>
      </c>
      <c r="S100" s="122">
        <f t="shared" si="34"/>
        <v>12.6</v>
      </c>
      <c r="T100" s="122">
        <f t="shared" si="24"/>
        <v>13</v>
      </c>
      <c r="U100">
        <v>1135</v>
      </c>
      <c r="V100">
        <f>U100*1.5</f>
        <v>1702.5</v>
      </c>
      <c r="W100">
        <f>VLOOKUP(B:B,[3]Sheet10!$G$1:$H$65536,2,0)</f>
        <v>1001.05</v>
      </c>
      <c r="X100">
        <f>VLOOKUP(B:B,'10月'!B:AB,27,0)</f>
        <v>1135</v>
      </c>
      <c r="Y100">
        <f>X100-W100</f>
        <v>133.95</v>
      </c>
      <c r="Z100">
        <f t="shared" si="26"/>
        <v>1402.5</v>
      </c>
      <c r="AA100">
        <f t="shared" si="25"/>
        <v>267.5</v>
      </c>
      <c r="AB100">
        <f>Z100</f>
        <v>1402.5</v>
      </c>
    </row>
    <row r="101" customFormat="1" spans="1:28">
      <c r="A101" s="2">
        <v>99</v>
      </c>
      <c r="B101" s="101">
        <v>102564</v>
      </c>
      <c r="C101" s="111" t="s">
        <v>205</v>
      </c>
      <c r="D101" s="2" t="s">
        <v>113</v>
      </c>
      <c r="E101" s="2" t="s">
        <v>204</v>
      </c>
      <c r="F101" s="8">
        <v>4</v>
      </c>
      <c r="G101" s="8">
        <f>F101*1.4</f>
        <v>5.6</v>
      </c>
      <c r="H101" s="8">
        <f t="shared" si="21"/>
        <v>6</v>
      </c>
      <c r="I101" s="8">
        <v>3</v>
      </c>
      <c r="J101" s="8">
        <v>6</v>
      </c>
      <c r="K101" s="114">
        <v>-2</v>
      </c>
      <c r="L101" s="8">
        <v>40</v>
      </c>
      <c r="M101" s="91">
        <f t="shared" si="33"/>
        <v>52</v>
      </c>
      <c r="N101" s="8">
        <f t="shared" si="22"/>
        <v>52</v>
      </c>
      <c r="O101" s="114">
        <f>VLOOKUP(B:B,[3]Sheet6!$G$1:$H$65536,2,0)</f>
        <v>7</v>
      </c>
      <c r="P101" s="114">
        <f>VLOOKUP(B:B,'10月'!B:S,18,0)</f>
        <v>3</v>
      </c>
      <c r="Q101" s="114">
        <f t="shared" si="23"/>
        <v>-4</v>
      </c>
      <c r="R101" s="12">
        <f>O101</f>
        <v>7</v>
      </c>
      <c r="S101" s="122">
        <f t="shared" si="34"/>
        <v>9.8</v>
      </c>
      <c r="T101" s="122">
        <f t="shared" si="24"/>
        <v>10</v>
      </c>
      <c r="U101">
        <v>736</v>
      </c>
      <c r="V101">
        <f>U101*1.6</f>
        <v>1177.6</v>
      </c>
      <c r="W101">
        <f>VLOOKUP(B:B,[3]Sheet10!$G$1:$H$65536,2,0)</f>
        <v>405.01</v>
      </c>
      <c r="X101">
        <f>VLOOKUP(B:B,'10月'!B:AB,27,0)</f>
        <v>736</v>
      </c>
      <c r="Y101">
        <f>X101-W101</f>
        <v>330.99</v>
      </c>
      <c r="Z101">
        <f t="shared" si="26"/>
        <v>877.6</v>
      </c>
      <c r="AA101">
        <f t="shared" si="25"/>
        <v>141.6</v>
      </c>
      <c r="AB101">
        <f>Z101</f>
        <v>877.6</v>
      </c>
    </row>
    <row r="102" customFormat="1" spans="1:28">
      <c r="A102" s="2">
        <v>100</v>
      </c>
      <c r="B102" s="101">
        <v>104838</v>
      </c>
      <c r="C102" s="112" t="s">
        <v>206</v>
      </c>
      <c r="D102" s="113"/>
      <c r="E102" s="113" t="s">
        <v>207</v>
      </c>
      <c r="F102" s="8">
        <v>4</v>
      </c>
      <c r="G102" s="8">
        <f>F102*1.4</f>
        <v>5.6</v>
      </c>
      <c r="H102" s="8">
        <f t="shared" si="21"/>
        <v>6</v>
      </c>
      <c r="I102" s="8" t="e">
        <v>#N/A</v>
      </c>
      <c r="J102" s="8" t="e">
        <v>#N/A</v>
      </c>
      <c r="K102" s="114" t="e">
        <v>#N/A</v>
      </c>
      <c r="L102" s="8">
        <v>40</v>
      </c>
      <c r="M102" s="91">
        <f t="shared" si="33"/>
        <v>52</v>
      </c>
      <c r="N102" s="8">
        <f t="shared" si="22"/>
        <v>52</v>
      </c>
      <c r="O102" s="114" t="e">
        <f>VLOOKUP(B:B,[3]Sheet6!$G$1:$H$65536,2,0)</f>
        <v>#N/A</v>
      </c>
      <c r="P102" s="114" t="e">
        <f>VLOOKUP(B:B,'10月'!B:S,18,0)</f>
        <v>#N/A</v>
      </c>
      <c r="Q102" s="114" t="e">
        <f t="shared" si="23"/>
        <v>#N/A</v>
      </c>
      <c r="R102" s="12">
        <v>4</v>
      </c>
      <c r="S102" s="122">
        <f t="shared" si="34"/>
        <v>5.6</v>
      </c>
      <c r="T102" s="122">
        <f t="shared" si="24"/>
        <v>6</v>
      </c>
      <c r="U102">
        <v>800</v>
      </c>
      <c r="V102">
        <f>U102*1.6</f>
        <v>1280</v>
      </c>
      <c r="W102" t="e">
        <f>VLOOKUP(B:B,[3]Sheet10!$G$1:$H$65536,2,0)</f>
        <v>#N/A</v>
      </c>
      <c r="X102" t="e">
        <f>VLOOKUP(B:B,'10月'!B:AB,27,0)</f>
        <v>#N/A</v>
      </c>
      <c r="Y102" t="e">
        <f>X102-W102</f>
        <v>#N/A</v>
      </c>
      <c r="Z102">
        <f t="shared" si="26"/>
        <v>980</v>
      </c>
      <c r="AA102">
        <f t="shared" si="25"/>
        <v>180</v>
      </c>
      <c r="AB102">
        <f>Z102</f>
        <v>980</v>
      </c>
    </row>
    <row r="103" s="13" customFormat="1" spans="1:28">
      <c r="A103" s="102"/>
      <c r="B103" s="85" t="s">
        <v>208</v>
      </c>
      <c r="C103" s="123"/>
      <c r="D103" s="85"/>
      <c r="E103" s="102"/>
      <c r="F103" s="8">
        <f>SUM(F3:F102)</f>
        <v>1560</v>
      </c>
      <c r="G103" s="8"/>
      <c r="H103" s="8">
        <f>SUM(H3:H102)</f>
        <v>1946</v>
      </c>
      <c r="I103" s="8" t="e">
        <v>#N/A</v>
      </c>
      <c r="J103" s="8">
        <v>1520</v>
      </c>
      <c r="K103" s="114">
        <v>-1520</v>
      </c>
      <c r="L103" s="8">
        <f>SUM(L3:L102)</f>
        <v>11703</v>
      </c>
      <c r="M103" s="8">
        <f>SUM(M3:M102)</f>
        <v>13717.17</v>
      </c>
      <c r="N103" s="8">
        <f>SUM(N3:N102)</f>
        <v>13716</v>
      </c>
      <c r="O103" s="114" t="e">
        <f>VLOOKUP(B:B,[3]Sheet6!$G$1:$H$65536,2,0)</f>
        <v>#N/A</v>
      </c>
      <c r="P103" s="114">
        <f>VLOOKUP(B:B,'10月'!B:S,18,0)</f>
        <v>854</v>
      </c>
      <c r="Q103" s="114" t="e">
        <f t="shared" si="23"/>
        <v>#N/A</v>
      </c>
      <c r="R103" s="12">
        <f>SUM(R3:R102)</f>
        <v>1165</v>
      </c>
      <c r="S103" s="12">
        <f>SUM(S3:S102)</f>
        <v>1451.3</v>
      </c>
      <c r="T103" s="12">
        <f>SUM(T3:T102)</f>
        <v>1454</v>
      </c>
      <c r="U103">
        <f>SUM(U3:U102)</f>
        <v>431254.57</v>
      </c>
      <c r="V103"/>
      <c r="Z103" s="13">
        <f>SUM(Z3:Z102)</f>
        <v>493986.02</v>
      </c>
      <c r="AA103"/>
      <c r="AB103" s="13">
        <f>SUM(AB3:AB102)</f>
        <v>485486.02</v>
      </c>
    </row>
    <row r="105" s="1" customFormat="1" ht="99" customHeight="1" spans="1:20">
      <c r="A105" s="5" t="s">
        <v>209</v>
      </c>
      <c r="B105" s="5"/>
      <c r="C105" s="104"/>
      <c r="D105" s="5"/>
      <c r="E105" s="5"/>
      <c r="F105" s="7"/>
      <c r="G105" s="7"/>
      <c r="H105" s="7"/>
      <c r="I105" s="7"/>
      <c r="J105" s="7"/>
      <c r="L105" s="7"/>
      <c r="M105" s="7"/>
      <c r="N105" s="7"/>
      <c r="R105" s="10"/>
      <c r="S105" s="11"/>
      <c r="T105" s="11"/>
    </row>
  </sheetData>
  <sortState ref="A3:E105">
    <sortCondition ref="E84" descending="1"/>
  </sortState>
  <mergeCells count="3">
    <mergeCell ref="A1:C1"/>
    <mergeCell ref="L1:N1"/>
    <mergeCell ref="R1:T1"/>
  </mergeCells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99"/>
  <sheetViews>
    <sheetView workbookViewId="0">
      <pane xSplit="5" ySplit="2" topLeftCell="S85" activePane="bottomRight" state="frozen"/>
      <selection/>
      <selection pane="topRight"/>
      <selection pane="bottomLeft"/>
      <selection pane="bottomRight" activeCell="AB97" sqref="AB97"/>
    </sheetView>
  </sheetViews>
  <sheetFormatPr defaultColWidth="9" defaultRowHeight="13.5"/>
  <cols>
    <col min="1" max="1" width="3.75" style="62" customWidth="1"/>
    <col min="2" max="2" width="6.75" style="62" customWidth="1"/>
    <col min="3" max="3" width="21.25" style="63" customWidth="1"/>
    <col min="4" max="4" width="3.625" style="62" customWidth="1"/>
    <col min="5" max="5" width="11" style="63" customWidth="1"/>
    <col min="6" max="6" width="10" style="7" customWidth="1"/>
    <col min="7" max="8" width="8.125" style="7" customWidth="1"/>
    <col min="9" max="14" width="8.125" style="82" customWidth="1"/>
    <col min="15" max="19" width="11" style="82" customWidth="1"/>
    <col min="20" max="20" width="11" style="7" customWidth="1"/>
    <col min="21" max="25" width="11" customWidth="1"/>
    <col min="26" max="27" width="11" style="83" customWidth="1"/>
    <col min="28" max="28" width="10.375"/>
  </cols>
  <sheetData>
    <row r="1" ht="18.75" spans="1:27">
      <c r="A1" s="84" t="s">
        <v>210</v>
      </c>
      <c r="B1" s="84"/>
      <c r="C1" s="84"/>
      <c r="D1" s="84"/>
      <c r="E1" s="85"/>
      <c r="F1" s="86" t="s">
        <v>24</v>
      </c>
      <c r="G1" s="87"/>
      <c r="H1" s="86" t="s">
        <v>41</v>
      </c>
      <c r="I1" s="87"/>
      <c r="J1" s="86" t="s">
        <v>45</v>
      </c>
      <c r="K1" s="87"/>
      <c r="L1" s="86" t="s">
        <v>47</v>
      </c>
      <c r="M1" s="87"/>
      <c r="N1" s="92"/>
      <c r="O1" s="93" t="s">
        <v>211</v>
      </c>
      <c r="P1" s="94"/>
      <c r="Q1" s="96" t="s">
        <v>212</v>
      </c>
      <c r="R1" s="97"/>
      <c r="S1" s="98"/>
      <c r="T1" s="86" t="s">
        <v>69</v>
      </c>
      <c r="U1" s="87"/>
      <c r="V1" s="86" t="s">
        <v>213</v>
      </c>
      <c r="W1" s="87"/>
      <c r="X1" s="86" t="s">
        <v>67</v>
      </c>
      <c r="Y1" s="87"/>
      <c r="Z1" s="86" t="s">
        <v>73</v>
      </c>
      <c r="AA1" s="87"/>
    </row>
    <row r="2" s="1" customFormat="1" ht="24" spans="1:27">
      <c r="A2" s="88" t="s">
        <v>214</v>
      </c>
      <c r="B2" s="88" t="s">
        <v>78</v>
      </c>
      <c r="C2" s="88" t="s">
        <v>79</v>
      </c>
      <c r="D2" s="88" t="s">
        <v>80</v>
      </c>
      <c r="E2" s="88" t="s">
        <v>81</v>
      </c>
      <c r="F2" s="89" t="s">
        <v>20</v>
      </c>
      <c r="G2" s="89" t="s">
        <v>21</v>
      </c>
      <c r="H2" s="89" t="s">
        <v>20</v>
      </c>
      <c r="I2" s="89" t="s">
        <v>21</v>
      </c>
      <c r="J2" s="89" t="s">
        <v>20</v>
      </c>
      <c r="K2" s="89" t="s">
        <v>21</v>
      </c>
      <c r="L2" s="89" t="s">
        <v>20</v>
      </c>
      <c r="M2" s="89" t="s">
        <v>21</v>
      </c>
      <c r="N2" s="89"/>
      <c r="O2" s="89" t="s">
        <v>20</v>
      </c>
      <c r="P2" s="89" t="s">
        <v>21</v>
      </c>
      <c r="Q2" s="89" t="s">
        <v>20</v>
      </c>
      <c r="R2" s="89" t="s">
        <v>21</v>
      </c>
      <c r="S2" s="89"/>
      <c r="T2" s="89" t="s">
        <v>20</v>
      </c>
      <c r="U2" s="89" t="s">
        <v>21</v>
      </c>
      <c r="V2" s="89" t="s">
        <v>20</v>
      </c>
      <c r="W2" s="89" t="s">
        <v>21</v>
      </c>
      <c r="X2" s="89" t="s">
        <v>20</v>
      </c>
      <c r="Y2" s="89" t="s">
        <v>21</v>
      </c>
      <c r="Z2" s="99" t="s">
        <v>20</v>
      </c>
      <c r="AA2" s="99" t="s">
        <v>21</v>
      </c>
    </row>
    <row r="3" spans="1:28">
      <c r="A3" s="2">
        <v>1</v>
      </c>
      <c r="B3" s="2">
        <v>307</v>
      </c>
      <c r="C3" s="2" t="s">
        <v>123</v>
      </c>
      <c r="D3" s="2" t="s">
        <v>124</v>
      </c>
      <c r="E3" s="2" t="s">
        <v>125</v>
      </c>
      <c r="F3" s="8">
        <v>151</v>
      </c>
      <c r="G3" s="8">
        <v>166</v>
      </c>
      <c r="H3" s="8">
        <v>210</v>
      </c>
      <c r="I3" s="95">
        <v>216</v>
      </c>
      <c r="J3" s="95">
        <v>227</v>
      </c>
      <c r="K3" s="95">
        <v>241</v>
      </c>
      <c r="L3" s="95">
        <v>21</v>
      </c>
      <c r="M3" s="95">
        <v>27</v>
      </c>
      <c r="N3" s="95">
        <f>H3+J3+L3</f>
        <v>458</v>
      </c>
      <c r="O3" s="95">
        <v>6</v>
      </c>
      <c r="P3" s="95">
        <v>9</v>
      </c>
      <c r="Q3" s="95">
        <v>105</v>
      </c>
      <c r="R3" s="95">
        <v>116</v>
      </c>
      <c r="S3" s="95">
        <f>O3+Q3</f>
        <v>111</v>
      </c>
      <c r="T3" s="8">
        <v>1920.6</v>
      </c>
      <c r="U3" s="8">
        <v>2304.72</v>
      </c>
      <c r="V3" s="8">
        <v>2520.02</v>
      </c>
      <c r="W3" s="8">
        <v>2646</v>
      </c>
      <c r="X3" s="8">
        <v>6175.94</v>
      </c>
      <c r="Y3" s="8">
        <v>6794</v>
      </c>
      <c r="Z3" s="100">
        <v>31189.01</v>
      </c>
      <c r="AA3" s="100">
        <v>32748.46</v>
      </c>
      <c r="AB3">
        <f>Z3+X3+T3</f>
        <v>39285.55</v>
      </c>
    </row>
    <row r="4" spans="1:28">
      <c r="A4" s="2">
        <v>2</v>
      </c>
      <c r="B4" s="2">
        <v>343</v>
      </c>
      <c r="C4" s="2" t="s">
        <v>91</v>
      </c>
      <c r="D4" s="2" t="s">
        <v>92</v>
      </c>
      <c r="E4" s="2" t="s">
        <v>93</v>
      </c>
      <c r="F4" s="8">
        <v>27</v>
      </c>
      <c r="G4" s="8">
        <v>35</v>
      </c>
      <c r="H4" s="8">
        <v>45</v>
      </c>
      <c r="I4" s="95">
        <v>52</v>
      </c>
      <c r="J4" s="95">
        <v>178</v>
      </c>
      <c r="K4" s="95">
        <v>195</v>
      </c>
      <c r="L4" s="95">
        <v>7</v>
      </c>
      <c r="M4" s="95">
        <v>9</v>
      </c>
      <c r="N4" s="95">
        <f t="shared" ref="N4:N35" si="0">H4+J4+L4</f>
        <v>230</v>
      </c>
      <c r="O4" s="95">
        <v>2</v>
      </c>
      <c r="P4" s="95">
        <v>3</v>
      </c>
      <c r="Q4" s="95">
        <v>11</v>
      </c>
      <c r="R4" s="95">
        <v>17</v>
      </c>
      <c r="S4" s="95">
        <f t="shared" ref="S4:S35" si="1">O4+Q4</f>
        <v>13</v>
      </c>
      <c r="T4" s="8">
        <v>594</v>
      </c>
      <c r="U4" s="8">
        <v>831.6</v>
      </c>
      <c r="V4" s="8">
        <v>2049.54</v>
      </c>
      <c r="W4" s="8">
        <v>2152</v>
      </c>
      <c r="X4" s="8">
        <v>1908.39</v>
      </c>
      <c r="Y4" s="8">
        <v>2099</v>
      </c>
      <c r="Z4" s="100">
        <v>5775.99</v>
      </c>
      <c r="AA4" s="100">
        <v>6064.79</v>
      </c>
      <c r="AB4">
        <f t="shared" ref="AB4:AB35" si="2">Z4+X4+T4</f>
        <v>8278.38</v>
      </c>
    </row>
    <row r="5" s="14" customFormat="1" spans="1:28">
      <c r="A5" s="90">
        <v>3</v>
      </c>
      <c r="B5" s="90">
        <v>341</v>
      </c>
      <c r="C5" s="90" t="s">
        <v>168</v>
      </c>
      <c r="D5" s="90" t="s">
        <v>92</v>
      </c>
      <c r="E5" s="90" t="s">
        <v>169</v>
      </c>
      <c r="F5" s="91">
        <v>27</v>
      </c>
      <c r="G5" s="91">
        <v>35</v>
      </c>
      <c r="H5" s="8">
        <v>45</v>
      </c>
      <c r="I5" s="95">
        <v>52</v>
      </c>
      <c r="J5" s="95">
        <v>48</v>
      </c>
      <c r="K5" s="95">
        <v>55</v>
      </c>
      <c r="L5" s="95">
        <v>8</v>
      </c>
      <c r="M5" s="95">
        <v>10</v>
      </c>
      <c r="N5" s="95">
        <f t="shared" si="0"/>
        <v>101</v>
      </c>
      <c r="O5" s="95">
        <v>2</v>
      </c>
      <c r="P5" s="95">
        <v>3</v>
      </c>
      <c r="Q5" s="95">
        <v>14</v>
      </c>
      <c r="R5" s="95">
        <v>18</v>
      </c>
      <c r="S5" s="95">
        <f t="shared" si="1"/>
        <v>16</v>
      </c>
      <c r="T5" s="8">
        <v>2406.3</v>
      </c>
      <c r="U5" s="8">
        <v>2887.56</v>
      </c>
      <c r="V5" s="8">
        <v>4542.1</v>
      </c>
      <c r="W5" s="8">
        <v>4769.2</v>
      </c>
      <c r="X5" s="8">
        <v>1630</v>
      </c>
      <c r="Y5" s="91">
        <v>1793</v>
      </c>
      <c r="Z5" s="100">
        <v>13313</v>
      </c>
      <c r="AA5" s="100">
        <v>14644.3</v>
      </c>
      <c r="AB5">
        <f t="shared" si="2"/>
        <v>17349.3</v>
      </c>
    </row>
    <row r="6" spans="1:28">
      <c r="A6" s="2">
        <v>4</v>
      </c>
      <c r="B6" s="2">
        <v>712</v>
      </c>
      <c r="C6" s="2" t="s">
        <v>126</v>
      </c>
      <c r="D6" s="2" t="s">
        <v>92</v>
      </c>
      <c r="E6" s="2" t="s">
        <v>127</v>
      </c>
      <c r="F6" s="8">
        <v>27</v>
      </c>
      <c r="G6" s="8">
        <v>35</v>
      </c>
      <c r="H6" s="8">
        <v>109</v>
      </c>
      <c r="I6" s="95">
        <v>116</v>
      </c>
      <c r="J6" s="95">
        <v>79</v>
      </c>
      <c r="K6" s="95">
        <v>90</v>
      </c>
      <c r="L6" s="95">
        <v>19</v>
      </c>
      <c r="M6" s="95">
        <v>23</v>
      </c>
      <c r="N6" s="95">
        <f t="shared" si="0"/>
        <v>207</v>
      </c>
      <c r="O6" s="95">
        <v>1</v>
      </c>
      <c r="P6" s="95">
        <v>2</v>
      </c>
      <c r="Q6" s="95">
        <v>5</v>
      </c>
      <c r="R6" s="95">
        <v>8</v>
      </c>
      <c r="S6" s="95">
        <f t="shared" si="1"/>
        <v>6</v>
      </c>
      <c r="T6" s="8">
        <v>1386</v>
      </c>
      <c r="U6" s="8">
        <v>1801.8</v>
      </c>
      <c r="V6" s="8">
        <v>1027.5</v>
      </c>
      <c r="W6" s="8">
        <v>1181.6</v>
      </c>
      <c r="X6" s="8">
        <v>656</v>
      </c>
      <c r="Y6" s="91">
        <v>820</v>
      </c>
      <c r="Z6" s="100">
        <v>4302</v>
      </c>
      <c r="AA6" s="100">
        <v>5377.5</v>
      </c>
      <c r="AB6">
        <f t="shared" si="2"/>
        <v>6344</v>
      </c>
    </row>
    <row r="7" spans="1:28">
      <c r="A7" s="2">
        <v>5</v>
      </c>
      <c r="B7" s="2">
        <v>581</v>
      </c>
      <c r="C7" s="2" t="s">
        <v>94</v>
      </c>
      <c r="D7" s="2" t="s">
        <v>95</v>
      </c>
      <c r="E7" s="2" t="s">
        <v>93</v>
      </c>
      <c r="F7" s="8">
        <v>27</v>
      </c>
      <c r="G7" s="8">
        <v>34</v>
      </c>
      <c r="H7" s="8">
        <v>109</v>
      </c>
      <c r="I7" s="95">
        <v>116</v>
      </c>
      <c r="J7" s="95">
        <v>65</v>
      </c>
      <c r="K7" s="95">
        <v>76</v>
      </c>
      <c r="L7" s="95">
        <v>1</v>
      </c>
      <c r="M7" s="95">
        <v>1</v>
      </c>
      <c r="N7" s="95">
        <f t="shared" si="0"/>
        <v>175</v>
      </c>
      <c r="O7" s="95">
        <v>1</v>
      </c>
      <c r="P7" s="95">
        <v>2</v>
      </c>
      <c r="Q7" s="95">
        <v>2</v>
      </c>
      <c r="R7" s="95">
        <v>4</v>
      </c>
      <c r="S7" s="95">
        <f t="shared" si="1"/>
        <v>3</v>
      </c>
      <c r="T7" s="8">
        <v>1634.1</v>
      </c>
      <c r="U7" s="8">
        <v>1960.92</v>
      </c>
      <c r="V7" s="8">
        <v>148.75</v>
      </c>
      <c r="W7" s="8">
        <v>223.1</v>
      </c>
      <c r="X7" s="8">
        <v>709.49</v>
      </c>
      <c r="Y7" s="91">
        <v>887</v>
      </c>
      <c r="Z7" s="100">
        <v>3100</v>
      </c>
      <c r="AA7" s="100">
        <v>3875</v>
      </c>
      <c r="AB7">
        <f t="shared" si="2"/>
        <v>5443.59</v>
      </c>
    </row>
    <row r="8" spans="1:28">
      <c r="A8" s="2">
        <v>6</v>
      </c>
      <c r="B8" s="2">
        <v>571</v>
      </c>
      <c r="C8" s="2" t="s">
        <v>128</v>
      </c>
      <c r="D8" s="2" t="s">
        <v>92</v>
      </c>
      <c r="E8" s="2" t="s">
        <v>127</v>
      </c>
      <c r="F8" s="8">
        <v>27</v>
      </c>
      <c r="G8" s="8">
        <v>35</v>
      </c>
      <c r="H8" s="8">
        <v>109</v>
      </c>
      <c r="I8" s="95">
        <v>116</v>
      </c>
      <c r="J8" s="95">
        <v>181</v>
      </c>
      <c r="K8" s="95">
        <v>198</v>
      </c>
      <c r="L8" s="95">
        <v>15</v>
      </c>
      <c r="M8" s="95">
        <v>19</v>
      </c>
      <c r="N8" s="95">
        <f t="shared" si="0"/>
        <v>305</v>
      </c>
      <c r="O8" s="95">
        <v>2</v>
      </c>
      <c r="P8" s="95">
        <v>3</v>
      </c>
      <c r="Q8" s="95">
        <v>9</v>
      </c>
      <c r="R8" s="95">
        <v>14</v>
      </c>
      <c r="S8" s="95">
        <f t="shared" si="1"/>
        <v>11</v>
      </c>
      <c r="T8" s="8">
        <v>982</v>
      </c>
      <c r="U8" s="8">
        <v>1374.8</v>
      </c>
      <c r="V8" s="8">
        <v>258.01</v>
      </c>
      <c r="W8" s="8">
        <v>387</v>
      </c>
      <c r="X8" s="8">
        <v>1630</v>
      </c>
      <c r="Y8" s="8">
        <v>1793</v>
      </c>
      <c r="Z8" s="100">
        <v>3569</v>
      </c>
      <c r="AA8" s="100">
        <v>4461.25</v>
      </c>
      <c r="AB8">
        <f t="shared" si="2"/>
        <v>6181</v>
      </c>
    </row>
    <row r="9" spans="1:28">
      <c r="A9" s="2">
        <v>7</v>
      </c>
      <c r="B9" s="2">
        <v>750</v>
      </c>
      <c r="C9" s="2" t="s">
        <v>129</v>
      </c>
      <c r="D9" s="2" t="s">
        <v>92</v>
      </c>
      <c r="E9" s="2" t="s">
        <v>127</v>
      </c>
      <c r="F9" s="8">
        <v>27</v>
      </c>
      <c r="G9" s="8">
        <v>35</v>
      </c>
      <c r="H9" s="8">
        <v>78</v>
      </c>
      <c r="I9" s="95">
        <v>85</v>
      </c>
      <c r="J9" s="95">
        <v>84</v>
      </c>
      <c r="K9" s="95">
        <v>96</v>
      </c>
      <c r="L9" s="95">
        <v>16</v>
      </c>
      <c r="M9" s="95">
        <v>20</v>
      </c>
      <c r="N9" s="95">
        <f t="shared" si="0"/>
        <v>178</v>
      </c>
      <c r="O9" s="95">
        <v>5</v>
      </c>
      <c r="P9" s="95">
        <v>7</v>
      </c>
      <c r="Q9" s="95">
        <v>24</v>
      </c>
      <c r="R9" s="95">
        <v>31</v>
      </c>
      <c r="S9" s="95">
        <f t="shared" si="1"/>
        <v>29</v>
      </c>
      <c r="T9" s="8">
        <v>630.3</v>
      </c>
      <c r="U9" s="8">
        <v>882.42</v>
      </c>
      <c r="V9" s="8">
        <v>709.01</v>
      </c>
      <c r="W9" s="8">
        <v>850.8</v>
      </c>
      <c r="X9" s="8">
        <v>549.5</v>
      </c>
      <c r="Y9" s="91">
        <v>687</v>
      </c>
      <c r="Z9" s="100">
        <v>2497</v>
      </c>
      <c r="AA9" s="100">
        <v>3121.25</v>
      </c>
      <c r="AB9">
        <f t="shared" si="2"/>
        <v>3676.8</v>
      </c>
    </row>
    <row r="10" spans="1:28">
      <c r="A10" s="2">
        <v>8</v>
      </c>
      <c r="B10" s="2">
        <v>707</v>
      </c>
      <c r="C10" s="2" t="s">
        <v>130</v>
      </c>
      <c r="D10" s="2" t="s">
        <v>95</v>
      </c>
      <c r="E10" s="2" t="s">
        <v>127</v>
      </c>
      <c r="F10" s="8">
        <v>27</v>
      </c>
      <c r="G10" s="8">
        <v>34</v>
      </c>
      <c r="H10" s="8">
        <v>55</v>
      </c>
      <c r="I10" s="95">
        <v>63</v>
      </c>
      <c r="J10" s="95">
        <v>90</v>
      </c>
      <c r="K10" s="95">
        <v>103</v>
      </c>
      <c r="L10" s="95">
        <v>4</v>
      </c>
      <c r="M10" s="95">
        <v>5</v>
      </c>
      <c r="N10" s="95">
        <f t="shared" si="0"/>
        <v>149</v>
      </c>
      <c r="O10" s="95">
        <v>1</v>
      </c>
      <c r="P10" s="95">
        <v>2</v>
      </c>
      <c r="Q10" s="95">
        <v>8</v>
      </c>
      <c r="R10" s="95">
        <v>12</v>
      </c>
      <c r="S10" s="95">
        <f t="shared" si="1"/>
        <v>9</v>
      </c>
      <c r="T10" s="8">
        <v>168.3</v>
      </c>
      <c r="U10" s="8">
        <v>252.45</v>
      </c>
      <c r="V10" s="8">
        <v>84.5</v>
      </c>
      <c r="W10" s="8">
        <v>169</v>
      </c>
      <c r="X10" s="8">
        <v>791.1</v>
      </c>
      <c r="Y10" s="91">
        <v>989</v>
      </c>
      <c r="Z10" s="100">
        <v>2096</v>
      </c>
      <c r="AA10" s="100">
        <v>2620</v>
      </c>
      <c r="AB10">
        <f t="shared" si="2"/>
        <v>3055.4</v>
      </c>
    </row>
    <row r="11" spans="1:28">
      <c r="A11" s="2">
        <v>9</v>
      </c>
      <c r="B11" s="2">
        <v>387</v>
      </c>
      <c r="C11" s="2" t="s">
        <v>131</v>
      </c>
      <c r="D11" s="2" t="s">
        <v>92</v>
      </c>
      <c r="E11" s="2" t="s">
        <v>127</v>
      </c>
      <c r="F11" s="8">
        <v>27</v>
      </c>
      <c r="G11" s="8">
        <v>35</v>
      </c>
      <c r="H11" s="8">
        <v>77</v>
      </c>
      <c r="I11" s="95">
        <v>84</v>
      </c>
      <c r="J11" s="95">
        <v>95</v>
      </c>
      <c r="K11" s="95">
        <v>109</v>
      </c>
      <c r="L11" s="95">
        <v>8</v>
      </c>
      <c r="M11" s="95">
        <v>10</v>
      </c>
      <c r="N11" s="95">
        <f t="shared" si="0"/>
        <v>180</v>
      </c>
      <c r="O11" s="95">
        <v>2</v>
      </c>
      <c r="P11" s="95">
        <v>3</v>
      </c>
      <c r="Q11" s="95">
        <v>7</v>
      </c>
      <c r="R11" s="95">
        <v>11</v>
      </c>
      <c r="S11" s="95">
        <f t="shared" si="1"/>
        <v>9</v>
      </c>
      <c r="T11" s="8">
        <v>1299.2</v>
      </c>
      <c r="U11" s="8">
        <v>1688.96</v>
      </c>
      <c r="V11" s="8">
        <v>2500.36</v>
      </c>
      <c r="W11" s="8">
        <v>2625.4</v>
      </c>
      <c r="X11" s="8">
        <v>475.89</v>
      </c>
      <c r="Y11" s="8">
        <v>666</v>
      </c>
      <c r="Z11" s="100">
        <v>2377.01</v>
      </c>
      <c r="AA11" s="100">
        <v>2971.26</v>
      </c>
      <c r="AB11">
        <f t="shared" si="2"/>
        <v>4152.1</v>
      </c>
    </row>
    <row r="12" spans="1:28">
      <c r="A12" s="2">
        <v>10</v>
      </c>
      <c r="B12" s="2">
        <v>582</v>
      </c>
      <c r="C12" s="2" t="s">
        <v>96</v>
      </c>
      <c r="D12" s="2" t="s">
        <v>92</v>
      </c>
      <c r="E12" s="2" t="s">
        <v>93</v>
      </c>
      <c r="F12" s="8">
        <v>27</v>
      </c>
      <c r="G12" s="8">
        <v>35</v>
      </c>
      <c r="H12" s="8">
        <v>27</v>
      </c>
      <c r="I12" s="95">
        <v>32</v>
      </c>
      <c r="J12" s="95">
        <v>41</v>
      </c>
      <c r="K12" s="95">
        <v>47</v>
      </c>
      <c r="L12" s="95">
        <v>15</v>
      </c>
      <c r="M12" s="95">
        <v>19</v>
      </c>
      <c r="N12" s="95">
        <f t="shared" si="0"/>
        <v>83</v>
      </c>
      <c r="O12" s="95">
        <v>1</v>
      </c>
      <c r="P12" s="95">
        <v>2</v>
      </c>
      <c r="Q12" s="95">
        <v>20</v>
      </c>
      <c r="R12" s="95">
        <v>26</v>
      </c>
      <c r="S12" s="95">
        <f t="shared" si="1"/>
        <v>21</v>
      </c>
      <c r="T12" s="8">
        <v>532</v>
      </c>
      <c r="U12" s="8">
        <v>744.8</v>
      </c>
      <c r="V12" s="8">
        <v>892.02</v>
      </c>
      <c r="W12" s="8">
        <v>1070.4</v>
      </c>
      <c r="X12" s="8">
        <v>1110.45</v>
      </c>
      <c r="Y12" s="8">
        <v>1221</v>
      </c>
      <c r="Z12" s="100">
        <v>1850</v>
      </c>
      <c r="AA12" s="100">
        <v>2312.5</v>
      </c>
      <c r="AB12">
        <f t="shared" si="2"/>
        <v>3492.45</v>
      </c>
    </row>
    <row r="13" spans="1:28">
      <c r="A13" s="2">
        <v>11</v>
      </c>
      <c r="B13" s="2">
        <v>514</v>
      </c>
      <c r="C13" s="2" t="s">
        <v>170</v>
      </c>
      <c r="D13" s="2" t="s">
        <v>95</v>
      </c>
      <c r="E13" s="2" t="s">
        <v>169</v>
      </c>
      <c r="F13" s="8">
        <v>27</v>
      </c>
      <c r="G13" s="8">
        <v>34</v>
      </c>
      <c r="H13" s="8">
        <v>59</v>
      </c>
      <c r="I13" s="95">
        <v>67</v>
      </c>
      <c r="J13" s="95">
        <v>132</v>
      </c>
      <c r="K13" s="95">
        <v>136</v>
      </c>
      <c r="L13" s="95">
        <v>1</v>
      </c>
      <c r="M13" s="95">
        <v>1</v>
      </c>
      <c r="N13" s="95">
        <f t="shared" si="0"/>
        <v>192</v>
      </c>
      <c r="O13" s="95">
        <v>1</v>
      </c>
      <c r="P13" s="95">
        <v>2</v>
      </c>
      <c r="Q13" s="95">
        <v>7</v>
      </c>
      <c r="R13" s="95">
        <v>11</v>
      </c>
      <c r="S13" s="95">
        <f t="shared" si="1"/>
        <v>8</v>
      </c>
      <c r="T13" s="91">
        <v>300</v>
      </c>
      <c r="U13" s="8">
        <v>450</v>
      </c>
      <c r="V13" s="8">
        <v>259.5</v>
      </c>
      <c r="W13" s="8">
        <v>389.3</v>
      </c>
      <c r="X13" s="8">
        <v>804.84</v>
      </c>
      <c r="Y13" s="91">
        <v>1006</v>
      </c>
      <c r="Z13" s="100">
        <v>5959</v>
      </c>
      <c r="AA13" s="100">
        <v>6256.95</v>
      </c>
      <c r="AB13">
        <f t="shared" si="2"/>
        <v>7063.84</v>
      </c>
    </row>
    <row r="14" spans="1:28">
      <c r="A14" s="2">
        <v>12</v>
      </c>
      <c r="B14" s="2">
        <v>359</v>
      </c>
      <c r="C14" s="2" t="s">
        <v>97</v>
      </c>
      <c r="D14" s="2" t="s">
        <v>95</v>
      </c>
      <c r="E14" s="2" t="s">
        <v>93</v>
      </c>
      <c r="F14" s="8">
        <v>20</v>
      </c>
      <c r="G14" s="8">
        <v>27</v>
      </c>
      <c r="H14" s="8">
        <v>40</v>
      </c>
      <c r="I14" s="95">
        <v>46</v>
      </c>
      <c r="J14" s="95">
        <v>44</v>
      </c>
      <c r="K14" s="95">
        <v>50</v>
      </c>
      <c r="L14" s="95">
        <v>2</v>
      </c>
      <c r="M14" s="95">
        <v>3</v>
      </c>
      <c r="N14" s="95">
        <f t="shared" si="0"/>
        <v>86</v>
      </c>
      <c r="O14" s="95">
        <v>4</v>
      </c>
      <c r="P14" s="95">
        <v>6</v>
      </c>
      <c r="Q14" s="95">
        <v>7</v>
      </c>
      <c r="R14" s="95">
        <v>11</v>
      </c>
      <c r="S14" s="95">
        <f t="shared" si="1"/>
        <v>11</v>
      </c>
      <c r="T14" s="91">
        <v>300</v>
      </c>
      <c r="U14" s="8">
        <v>450</v>
      </c>
      <c r="V14" s="8">
        <v>315.04</v>
      </c>
      <c r="W14" s="8">
        <v>472.6</v>
      </c>
      <c r="X14" s="8">
        <v>1287.5</v>
      </c>
      <c r="Y14" s="8">
        <v>1416</v>
      </c>
      <c r="Z14" s="100">
        <v>683</v>
      </c>
      <c r="AA14" s="100">
        <v>956.2</v>
      </c>
      <c r="AB14">
        <f t="shared" si="2"/>
        <v>2270.5</v>
      </c>
    </row>
    <row r="15" spans="1:28">
      <c r="A15" s="2">
        <v>13</v>
      </c>
      <c r="B15" s="2">
        <v>726</v>
      </c>
      <c r="C15" s="2" t="s">
        <v>98</v>
      </c>
      <c r="D15" s="2" t="s">
        <v>95</v>
      </c>
      <c r="E15" s="2" t="s">
        <v>93</v>
      </c>
      <c r="F15" s="8">
        <v>27</v>
      </c>
      <c r="G15" s="8">
        <v>34</v>
      </c>
      <c r="H15" s="8">
        <v>42</v>
      </c>
      <c r="I15" s="95">
        <v>49</v>
      </c>
      <c r="J15" s="95">
        <v>95</v>
      </c>
      <c r="K15" s="95">
        <v>109</v>
      </c>
      <c r="L15" s="95">
        <v>1</v>
      </c>
      <c r="M15" s="95">
        <v>1</v>
      </c>
      <c r="N15" s="95">
        <f t="shared" si="0"/>
        <v>138</v>
      </c>
      <c r="O15" s="95">
        <v>1</v>
      </c>
      <c r="P15" s="95">
        <v>2</v>
      </c>
      <c r="Q15" s="95">
        <v>7</v>
      </c>
      <c r="R15" s="95">
        <v>11</v>
      </c>
      <c r="S15" s="95">
        <f t="shared" si="1"/>
        <v>8</v>
      </c>
      <c r="T15" s="8">
        <v>588</v>
      </c>
      <c r="U15" s="8">
        <v>823.2</v>
      </c>
      <c r="V15" s="8">
        <v>597.6</v>
      </c>
      <c r="W15" s="8">
        <v>717.1</v>
      </c>
      <c r="X15" s="8">
        <v>1737.5</v>
      </c>
      <c r="Y15" s="8">
        <v>1911</v>
      </c>
      <c r="Z15" s="100">
        <v>3105.71</v>
      </c>
      <c r="AA15" s="100">
        <v>3882.14</v>
      </c>
      <c r="AB15">
        <f t="shared" si="2"/>
        <v>5431.21</v>
      </c>
    </row>
    <row r="16" spans="1:28">
      <c r="A16" s="2">
        <v>14</v>
      </c>
      <c r="B16" s="2">
        <v>578</v>
      </c>
      <c r="C16" s="2" t="s">
        <v>148</v>
      </c>
      <c r="D16" s="2" t="s">
        <v>95</v>
      </c>
      <c r="E16" s="2" t="s">
        <v>149</v>
      </c>
      <c r="F16" s="8">
        <v>17</v>
      </c>
      <c r="G16" s="8">
        <v>24</v>
      </c>
      <c r="H16" s="8">
        <v>48</v>
      </c>
      <c r="I16" s="95">
        <v>56</v>
      </c>
      <c r="J16" s="95">
        <v>69</v>
      </c>
      <c r="K16" s="95">
        <v>81</v>
      </c>
      <c r="L16" s="95">
        <v>8</v>
      </c>
      <c r="M16" s="95">
        <v>10</v>
      </c>
      <c r="N16" s="95">
        <f t="shared" si="0"/>
        <v>125</v>
      </c>
      <c r="O16" s="95">
        <v>1</v>
      </c>
      <c r="P16" s="95">
        <v>2</v>
      </c>
      <c r="Q16" s="95">
        <v>5</v>
      </c>
      <c r="R16" s="95">
        <v>8</v>
      </c>
      <c r="S16" s="95">
        <f t="shared" si="1"/>
        <v>6</v>
      </c>
      <c r="T16" s="8">
        <v>462</v>
      </c>
      <c r="U16" s="8">
        <v>693</v>
      </c>
      <c r="V16" s="8">
        <v>168</v>
      </c>
      <c r="W16" s="8">
        <v>252</v>
      </c>
      <c r="X16" s="8">
        <v>380.5</v>
      </c>
      <c r="Y16" s="8">
        <v>533</v>
      </c>
      <c r="Z16" s="100">
        <v>1431</v>
      </c>
      <c r="AA16" s="100">
        <v>1788.75</v>
      </c>
      <c r="AB16">
        <f t="shared" si="2"/>
        <v>2273.5</v>
      </c>
    </row>
    <row r="17" spans="1:28">
      <c r="A17" s="2">
        <v>15</v>
      </c>
      <c r="B17" s="2">
        <v>365</v>
      </c>
      <c r="C17" s="2" t="s">
        <v>99</v>
      </c>
      <c r="D17" s="2" t="s">
        <v>95</v>
      </c>
      <c r="E17" s="2" t="s">
        <v>93</v>
      </c>
      <c r="F17" s="8">
        <v>27</v>
      </c>
      <c r="G17" s="8">
        <v>34</v>
      </c>
      <c r="H17" s="8">
        <v>48</v>
      </c>
      <c r="I17" s="95">
        <v>56</v>
      </c>
      <c r="J17" s="95">
        <v>65</v>
      </c>
      <c r="K17" s="95">
        <v>76</v>
      </c>
      <c r="L17" s="95">
        <v>21</v>
      </c>
      <c r="M17" s="95">
        <v>30</v>
      </c>
      <c r="N17" s="95">
        <f t="shared" si="0"/>
        <v>134</v>
      </c>
      <c r="O17" s="95">
        <v>2</v>
      </c>
      <c r="P17" s="95">
        <v>3</v>
      </c>
      <c r="Q17" s="95">
        <v>21</v>
      </c>
      <c r="R17" s="95">
        <v>27</v>
      </c>
      <c r="S17" s="95">
        <f t="shared" si="1"/>
        <v>23</v>
      </c>
      <c r="T17" s="8">
        <v>662</v>
      </c>
      <c r="U17" s="8">
        <v>926.8</v>
      </c>
      <c r="V17" s="8">
        <v>890.52</v>
      </c>
      <c r="W17" s="8">
        <v>1068.6</v>
      </c>
      <c r="X17" s="8">
        <v>922.02</v>
      </c>
      <c r="Y17" s="91">
        <v>1153</v>
      </c>
      <c r="Z17" s="100">
        <v>1787.3</v>
      </c>
      <c r="AA17" s="100">
        <v>2234.13</v>
      </c>
      <c r="AB17">
        <f t="shared" si="2"/>
        <v>3371.32</v>
      </c>
    </row>
    <row r="18" spans="1:28">
      <c r="A18" s="2">
        <v>16</v>
      </c>
      <c r="B18" s="2">
        <v>373</v>
      </c>
      <c r="C18" s="2" t="s">
        <v>150</v>
      </c>
      <c r="D18" s="2" t="s">
        <v>104</v>
      </c>
      <c r="E18" s="2" t="s">
        <v>149</v>
      </c>
      <c r="F18" s="8">
        <v>17</v>
      </c>
      <c r="G18" s="8">
        <v>23</v>
      </c>
      <c r="H18" s="8">
        <v>42</v>
      </c>
      <c r="I18" s="95">
        <v>49</v>
      </c>
      <c r="J18" s="95">
        <v>40</v>
      </c>
      <c r="K18" s="95">
        <v>46</v>
      </c>
      <c r="L18" s="95">
        <v>8</v>
      </c>
      <c r="M18" s="95">
        <v>10</v>
      </c>
      <c r="N18" s="95">
        <f t="shared" si="0"/>
        <v>90</v>
      </c>
      <c r="O18" s="95">
        <v>1</v>
      </c>
      <c r="P18" s="95">
        <v>2</v>
      </c>
      <c r="Q18" s="95">
        <v>13</v>
      </c>
      <c r="R18" s="95">
        <v>20</v>
      </c>
      <c r="S18" s="95">
        <f t="shared" si="1"/>
        <v>14</v>
      </c>
      <c r="T18" s="8">
        <v>178.2</v>
      </c>
      <c r="U18" s="8">
        <v>267.3</v>
      </c>
      <c r="V18" s="8">
        <v>702.5</v>
      </c>
      <c r="W18" s="8">
        <v>843</v>
      </c>
      <c r="X18" s="8">
        <v>794.5</v>
      </c>
      <c r="Y18" s="91">
        <v>993</v>
      </c>
      <c r="Z18" s="100">
        <v>1737</v>
      </c>
      <c r="AA18" s="100">
        <v>2171.25</v>
      </c>
      <c r="AB18">
        <f t="shared" si="2"/>
        <v>2709.7</v>
      </c>
    </row>
    <row r="19" spans="1:28">
      <c r="A19" s="2">
        <v>17</v>
      </c>
      <c r="B19" s="2">
        <v>513</v>
      </c>
      <c r="C19" s="2" t="s">
        <v>100</v>
      </c>
      <c r="D19" s="2" t="s">
        <v>95</v>
      </c>
      <c r="E19" s="2" t="s">
        <v>93</v>
      </c>
      <c r="F19" s="8">
        <v>20</v>
      </c>
      <c r="G19" s="8">
        <v>27</v>
      </c>
      <c r="H19" s="8">
        <v>13</v>
      </c>
      <c r="I19" s="95">
        <v>14</v>
      </c>
      <c r="J19" s="95">
        <v>78</v>
      </c>
      <c r="K19" s="95">
        <v>89</v>
      </c>
      <c r="L19" s="95">
        <v>3</v>
      </c>
      <c r="M19" s="95">
        <v>4</v>
      </c>
      <c r="N19" s="95">
        <f t="shared" si="0"/>
        <v>94</v>
      </c>
      <c r="O19" s="95">
        <v>1</v>
      </c>
      <c r="P19" s="95">
        <v>2</v>
      </c>
      <c r="Q19" s="95">
        <v>1</v>
      </c>
      <c r="R19" s="95">
        <v>3</v>
      </c>
      <c r="S19" s="95">
        <f t="shared" si="1"/>
        <v>2</v>
      </c>
      <c r="T19" s="8">
        <v>198</v>
      </c>
      <c r="U19" s="8">
        <v>297</v>
      </c>
      <c r="V19" s="8">
        <v>168</v>
      </c>
      <c r="W19" s="8">
        <v>252</v>
      </c>
      <c r="X19" s="8">
        <v>762.5</v>
      </c>
      <c r="Y19" s="91">
        <v>953</v>
      </c>
      <c r="Z19" s="100">
        <v>792</v>
      </c>
      <c r="AA19" s="100">
        <v>1108.8</v>
      </c>
      <c r="AB19">
        <f t="shared" si="2"/>
        <v>1752.5</v>
      </c>
    </row>
    <row r="20" spans="1:28">
      <c r="A20" s="2">
        <v>18</v>
      </c>
      <c r="B20" s="2">
        <v>546</v>
      </c>
      <c r="C20" s="2" t="s">
        <v>132</v>
      </c>
      <c r="D20" s="2" t="s">
        <v>95</v>
      </c>
      <c r="E20" s="2" t="s">
        <v>127</v>
      </c>
      <c r="F20" s="8">
        <v>27</v>
      </c>
      <c r="G20" s="8">
        <v>34</v>
      </c>
      <c r="H20" s="8">
        <v>80</v>
      </c>
      <c r="I20" s="95">
        <v>87</v>
      </c>
      <c r="J20" s="95">
        <v>144</v>
      </c>
      <c r="K20" s="95">
        <v>148</v>
      </c>
      <c r="L20" s="95">
        <v>2</v>
      </c>
      <c r="M20" s="95">
        <v>3</v>
      </c>
      <c r="N20" s="95">
        <f t="shared" si="0"/>
        <v>226</v>
      </c>
      <c r="O20" s="95">
        <v>3</v>
      </c>
      <c r="P20" s="95">
        <v>4</v>
      </c>
      <c r="Q20" s="95">
        <v>8</v>
      </c>
      <c r="R20" s="95">
        <v>12</v>
      </c>
      <c r="S20" s="95">
        <f t="shared" si="1"/>
        <v>11</v>
      </c>
      <c r="T20" s="8">
        <v>1188</v>
      </c>
      <c r="U20" s="8">
        <v>1544.4</v>
      </c>
      <c r="V20" s="8">
        <v>168</v>
      </c>
      <c r="W20" s="8">
        <v>252</v>
      </c>
      <c r="X20" s="8">
        <v>1760.04</v>
      </c>
      <c r="Y20" s="8">
        <v>1936</v>
      </c>
      <c r="Z20" s="100">
        <v>2108</v>
      </c>
      <c r="AA20" s="100">
        <v>2635</v>
      </c>
      <c r="AB20">
        <f t="shared" si="2"/>
        <v>5056.04</v>
      </c>
    </row>
    <row r="21" spans="1:28">
      <c r="A21" s="2">
        <v>19</v>
      </c>
      <c r="B21" s="2">
        <v>746</v>
      </c>
      <c r="C21" s="2" t="s">
        <v>171</v>
      </c>
      <c r="D21" s="2" t="s">
        <v>109</v>
      </c>
      <c r="E21" s="2" t="s">
        <v>169</v>
      </c>
      <c r="F21" s="8">
        <v>17</v>
      </c>
      <c r="G21" s="8">
        <v>22</v>
      </c>
      <c r="H21" s="8">
        <v>15</v>
      </c>
      <c r="I21" s="95">
        <v>17</v>
      </c>
      <c r="J21" s="95">
        <v>47</v>
      </c>
      <c r="K21" s="95">
        <v>53</v>
      </c>
      <c r="L21" s="95">
        <v>2</v>
      </c>
      <c r="M21" s="95">
        <v>3</v>
      </c>
      <c r="N21" s="95">
        <f t="shared" si="0"/>
        <v>64</v>
      </c>
      <c r="O21" s="95">
        <v>1</v>
      </c>
      <c r="P21" s="95">
        <v>2</v>
      </c>
      <c r="Q21" s="95">
        <v>1</v>
      </c>
      <c r="R21" s="95">
        <v>3</v>
      </c>
      <c r="S21" s="95">
        <f t="shared" si="1"/>
        <v>2</v>
      </c>
      <c r="T21" s="91">
        <v>150</v>
      </c>
      <c r="U21" s="8">
        <v>225</v>
      </c>
      <c r="V21" s="8">
        <v>84.5</v>
      </c>
      <c r="W21" s="8">
        <v>169</v>
      </c>
      <c r="X21" s="8">
        <v>922.12</v>
      </c>
      <c r="Y21" s="91">
        <v>1153</v>
      </c>
      <c r="Z21" s="100">
        <v>1235</v>
      </c>
      <c r="AA21" s="100">
        <v>1543.75</v>
      </c>
      <c r="AB21">
        <f t="shared" si="2"/>
        <v>2307.12</v>
      </c>
    </row>
    <row r="22" spans="1:28">
      <c r="A22" s="2">
        <v>20</v>
      </c>
      <c r="B22" s="2">
        <v>515</v>
      </c>
      <c r="C22" s="2" t="s">
        <v>151</v>
      </c>
      <c r="D22" s="2" t="s">
        <v>104</v>
      </c>
      <c r="E22" s="2" t="s">
        <v>149</v>
      </c>
      <c r="F22" s="8">
        <v>17</v>
      </c>
      <c r="G22" s="8">
        <v>23</v>
      </c>
      <c r="H22" s="8">
        <v>75</v>
      </c>
      <c r="I22" s="95">
        <v>82</v>
      </c>
      <c r="J22" s="95">
        <v>63</v>
      </c>
      <c r="K22" s="95">
        <v>73</v>
      </c>
      <c r="L22" s="95">
        <v>2</v>
      </c>
      <c r="M22" s="95">
        <v>3</v>
      </c>
      <c r="N22" s="95">
        <f t="shared" si="0"/>
        <v>140</v>
      </c>
      <c r="O22" s="95">
        <v>1</v>
      </c>
      <c r="P22" s="95">
        <v>2</v>
      </c>
      <c r="Q22" s="95">
        <v>5</v>
      </c>
      <c r="R22" s="95">
        <v>8</v>
      </c>
      <c r="S22" s="95">
        <f t="shared" si="1"/>
        <v>6</v>
      </c>
      <c r="T22" s="8">
        <v>734</v>
      </c>
      <c r="U22" s="8">
        <v>1027.6</v>
      </c>
      <c r="V22" s="8">
        <v>84.5</v>
      </c>
      <c r="W22" s="8">
        <v>169</v>
      </c>
      <c r="X22" s="8">
        <v>411</v>
      </c>
      <c r="Y22" s="8">
        <v>575</v>
      </c>
      <c r="Z22" s="100">
        <v>2730</v>
      </c>
      <c r="AA22" s="100">
        <v>3412.5</v>
      </c>
      <c r="AB22">
        <f t="shared" si="2"/>
        <v>3875</v>
      </c>
    </row>
    <row r="23" spans="1:28">
      <c r="A23" s="2">
        <v>21</v>
      </c>
      <c r="B23" s="2">
        <v>730</v>
      </c>
      <c r="C23" s="2" t="s">
        <v>101</v>
      </c>
      <c r="D23" s="2" t="s">
        <v>95</v>
      </c>
      <c r="E23" s="2" t="s">
        <v>93</v>
      </c>
      <c r="F23" s="8">
        <v>27</v>
      </c>
      <c r="G23" s="8">
        <v>34</v>
      </c>
      <c r="H23" s="8">
        <v>28</v>
      </c>
      <c r="I23" s="95">
        <v>33</v>
      </c>
      <c r="J23" s="95">
        <v>43</v>
      </c>
      <c r="K23" s="95">
        <v>50</v>
      </c>
      <c r="L23" s="95">
        <v>1</v>
      </c>
      <c r="M23" s="95">
        <v>1</v>
      </c>
      <c r="N23" s="95">
        <f t="shared" si="0"/>
        <v>72</v>
      </c>
      <c r="O23" s="95">
        <v>2</v>
      </c>
      <c r="P23" s="95">
        <v>3</v>
      </c>
      <c r="Q23" s="95">
        <v>3</v>
      </c>
      <c r="R23" s="95">
        <v>5</v>
      </c>
      <c r="S23" s="95">
        <f t="shared" si="1"/>
        <v>5</v>
      </c>
      <c r="T23" s="91">
        <v>300</v>
      </c>
      <c r="U23" s="8">
        <v>450</v>
      </c>
      <c r="V23" s="8">
        <v>444.51</v>
      </c>
      <c r="W23" s="8">
        <v>666.8</v>
      </c>
      <c r="X23" s="8">
        <v>657.5</v>
      </c>
      <c r="Y23" s="91">
        <v>822</v>
      </c>
      <c r="Z23" s="100">
        <v>3800</v>
      </c>
      <c r="AA23" s="100">
        <v>4750</v>
      </c>
      <c r="AB23">
        <f t="shared" si="2"/>
        <v>4757.5</v>
      </c>
    </row>
    <row r="24" spans="1:28">
      <c r="A24" s="2">
        <v>22</v>
      </c>
      <c r="B24" s="2">
        <v>308</v>
      </c>
      <c r="C24" s="2" t="s">
        <v>152</v>
      </c>
      <c r="D24" s="2" t="s">
        <v>95</v>
      </c>
      <c r="E24" s="2" t="s">
        <v>149</v>
      </c>
      <c r="F24" s="8">
        <v>27</v>
      </c>
      <c r="G24" s="8">
        <v>34</v>
      </c>
      <c r="H24" s="8">
        <v>28</v>
      </c>
      <c r="I24" s="95">
        <v>33</v>
      </c>
      <c r="J24" s="95">
        <v>31</v>
      </c>
      <c r="K24" s="95">
        <v>35</v>
      </c>
      <c r="L24" s="95">
        <v>1</v>
      </c>
      <c r="M24" s="95">
        <v>1</v>
      </c>
      <c r="N24" s="95">
        <f t="shared" si="0"/>
        <v>60</v>
      </c>
      <c r="O24" s="95">
        <v>1</v>
      </c>
      <c r="P24" s="95">
        <v>2</v>
      </c>
      <c r="Q24" s="95">
        <v>6</v>
      </c>
      <c r="R24" s="95">
        <v>9</v>
      </c>
      <c r="S24" s="95">
        <f t="shared" si="1"/>
        <v>7</v>
      </c>
      <c r="T24" s="8">
        <v>408</v>
      </c>
      <c r="U24" s="8">
        <v>612</v>
      </c>
      <c r="V24" s="8">
        <v>168</v>
      </c>
      <c r="W24" s="8">
        <v>252</v>
      </c>
      <c r="X24" s="8">
        <v>624</v>
      </c>
      <c r="Y24" s="91">
        <v>780</v>
      </c>
      <c r="Z24" s="100">
        <v>4408</v>
      </c>
      <c r="AA24" s="100">
        <v>5510</v>
      </c>
      <c r="AB24">
        <f t="shared" si="2"/>
        <v>5440</v>
      </c>
    </row>
    <row r="25" spans="1:28">
      <c r="A25" s="2">
        <v>23</v>
      </c>
      <c r="B25" s="2">
        <v>517</v>
      </c>
      <c r="C25" s="2" t="s">
        <v>153</v>
      </c>
      <c r="D25" s="2" t="s">
        <v>92</v>
      </c>
      <c r="E25" s="2" t="s">
        <v>149</v>
      </c>
      <c r="F25" s="8">
        <v>27</v>
      </c>
      <c r="G25" s="8">
        <v>35</v>
      </c>
      <c r="H25" s="8">
        <v>53</v>
      </c>
      <c r="I25" s="95">
        <v>60</v>
      </c>
      <c r="J25" s="95">
        <v>41</v>
      </c>
      <c r="K25" s="95">
        <v>47</v>
      </c>
      <c r="L25" s="95">
        <v>1</v>
      </c>
      <c r="M25" s="95">
        <v>1</v>
      </c>
      <c r="N25" s="95">
        <f t="shared" si="0"/>
        <v>95</v>
      </c>
      <c r="O25" s="95">
        <v>1</v>
      </c>
      <c r="P25" s="95">
        <v>2</v>
      </c>
      <c r="Q25" s="95">
        <v>1</v>
      </c>
      <c r="R25" s="95">
        <v>3</v>
      </c>
      <c r="S25" s="95">
        <f t="shared" si="1"/>
        <v>2</v>
      </c>
      <c r="T25" s="8">
        <v>380.1</v>
      </c>
      <c r="U25" s="8">
        <v>570.15</v>
      </c>
      <c r="V25" s="8">
        <v>86</v>
      </c>
      <c r="W25" s="8">
        <v>172</v>
      </c>
      <c r="X25" s="8">
        <v>848.65</v>
      </c>
      <c r="Y25" s="91">
        <v>1061</v>
      </c>
      <c r="Z25" s="100">
        <v>2230</v>
      </c>
      <c r="AA25" s="100">
        <v>2787.5</v>
      </c>
      <c r="AB25">
        <f t="shared" si="2"/>
        <v>3458.75</v>
      </c>
    </row>
    <row r="26" spans="1:28">
      <c r="A26" s="2">
        <v>24</v>
      </c>
      <c r="B26" s="2">
        <v>585</v>
      </c>
      <c r="C26" s="2" t="s">
        <v>102</v>
      </c>
      <c r="D26" s="2" t="s">
        <v>95</v>
      </c>
      <c r="E26" s="2" t="s">
        <v>93</v>
      </c>
      <c r="F26" s="8">
        <v>27</v>
      </c>
      <c r="G26" s="8">
        <v>34</v>
      </c>
      <c r="H26" s="8">
        <v>55</v>
      </c>
      <c r="I26" s="95">
        <v>63</v>
      </c>
      <c r="J26" s="95">
        <v>55</v>
      </c>
      <c r="K26" s="95">
        <v>63</v>
      </c>
      <c r="L26" s="95">
        <v>2</v>
      </c>
      <c r="M26" s="95">
        <v>3</v>
      </c>
      <c r="N26" s="95">
        <f t="shared" si="0"/>
        <v>112</v>
      </c>
      <c r="O26" s="95">
        <v>1</v>
      </c>
      <c r="P26" s="95">
        <v>2</v>
      </c>
      <c r="Q26" s="95">
        <v>11</v>
      </c>
      <c r="R26" s="95">
        <v>17</v>
      </c>
      <c r="S26" s="95">
        <f t="shared" si="1"/>
        <v>12</v>
      </c>
      <c r="T26" s="8">
        <v>1222.9</v>
      </c>
      <c r="U26" s="8">
        <v>1589.77</v>
      </c>
      <c r="V26" s="8">
        <v>168</v>
      </c>
      <c r="W26" s="8">
        <v>252</v>
      </c>
      <c r="X26" s="8">
        <v>682</v>
      </c>
      <c r="Y26" s="91">
        <v>853</v>
      </c>
      <c r="Z26" s="100">
        <v>1823.01</v>
      </c>
      <c r="AA26" s="100">
        <v>2278.76</v>
      </c>
      <c r="AB26">
        <f t="shared" si="2"/>
        <v>3727.91</v>
      </c>
    </row>
    <row r="27" spans="1:28">
      <c r="A27" s="2">
        <v>25</v>
      </c>
      <c r="B27" s="2">
        <v>385</v>
      </c>
      <c r="C27" s="2" t="s">
        <v>172</v>
      </c>
      <c r="D27" s="2" t="s">
        <v>92</v>
      </c>
      <c r="E27" s="2" t="s">
        <v>169</v>
      </c>
      <c r="F27" s="8">
        <v>27</v>
      </c>
      <c r="G27" s="8">
        <v>35</v>
      </c>
      <c r="H27" s="8">
        <v>14</v>
      </c>
      <c r="I27" s="95">
        <v>15</v>
      </c>
      <c r="J27" s="95">
        <v>36</v>
      </c>
      <c r="K27" s="95">
        <v>41</v>
      </c>
      <c r="L27" s="95">
        <v>1</v>
      </c>
      <c r="M27" s="95">
        <v>1</v>
      </c>
      <c r="N27" s="95">
        <f t="shared" si="0"/>
        <v>51</v>
      </c>
      <c r="O27" s="95">
        <v>1</v>
      </c>
      <c r="P27" s="95">
        <v>2</v>
      </c>
      <c r="Q27" s="95">
        <v>11</v>
      </c>
      <c r="R27" s="95">
        <v>17</v>
      </c>
      <c r="S27" s="95">
        <f t="shared" si="1"/>
        <v>12</v>
      </c>
      <c r="T27" s="8">
        <v>168.3</v>
      </c>
      <c r="U27" s="8">
        <v>252.45</v>
      </c>
      <c r="V27" s="8">
        <v>84.5</v>
      </c>
      <c r="W27" s="8">
        <v>169</v>
      </c>
      <c r="X27" s="8">
        <v>446</v>
      </c>
      <c r="Y27" s="8">
        <v>624</v>
      </c>
      <c r="Z27" s="100">
        <v>665</v>
      </c>
      <c r="AA27" s="100">
        <v>931</v>
      </c>
      <c r="AB27">
        <f t="shared" si="2"/>
        <v>1279.3</v>
      </c>
    </row>
    <row r="28" spans="1:28">
      <c r="A28" s="2">
        <v>26</v>
      </c>
      <c r="B28" s="2">
        <v>744</v>
      </c>
      <c r="C28" s="2" t="s">
        <v>154</v>
      </c>
      <c r="D28" s="2" t="s">
        <v>95</v>
      </c>
      <c r="E28" s="2" t="s">
        <v>149</v>
      </c>
      <c r="F28" s="8">
        <v>20</v>
      </c>
      <c r="G28" s="8">
        <v>27</v>
      </c>
      <c r="H28" s="8">
        <v>31</v>
      </c>
      <c r="I28" s="95">
        <v>35</v>
      </c>
      <c r="J28" s="95">
        <v>50</v>
      </c>
      <c r="K28" s="95">
        <v>57</v>
      </c>
      <c r="L28" s="95">
        <v>4</v>
      </c>
      <c r="M28" s="95">
        <v>5</v>
      </c>
      <c r="N28" s="95">
        <f t="shared" si="0"/>
        <v>85</v>
      </c>
      <c r="O28" s="95">
        <v>1</v>
      </c>
      <c r="P28" s="95">
        <v>2</v>
      </c>
      <c r="Q28" s="95">
        <v>6</v>
      </c>
      <c r="R28" s="95">
        <v>9</v>
      </c>
      <c r="S28" s="95">
        <f t="shared" si="1"/>
        <v>7</v>
      </c>
      <c r="T28" s="91">
        <v>300</v>
      </c>
      <c r="U28" s="8">
        <v>450</v>
      </c>
      <c r="V28" s="8">
        <v>168</v>
      </c>
      <c r="W28" s="8">
        <v>252</v>
      </c>
      <c r="X28" s="8">
        <v>240.5</v>
      </c>
      <c r="Y28" s="8">
        <v>337</v>
      </c>
      <c r="Z28" s="100">
        <v>2336.8</v>
      </c>
      <c r="AA28" s="100">
        <v>2921</v>
      </c>
      <c r="AB28">
        <f t="shared" si="2"/>
        <v>2877.3</v>
      </c>
    </row>
    <row r="29" spans="1:28">
      <c r="A29" s="2">
        <v>27</v>
      </c>
      <c r="B29" s="2">
        <v>724</v>
      </c>
      <c r="C29" s="2" t="s">
        <v>133</v>
      </c>
      <c r="D29" s="2" t="s">
        <v>95</v>
      </c>
      <c r="E29" s="2" t="s">
        <v>127</v>
      </c>
      <c r="F29" s="8">
        <v>20</v>
      </c>
      <c r="G29" s="8">
        <v>27</v>
      </c>
      <c r="H29" s="8">
        <v>78</v>
      </c>
      <c r="I29" s="95">
        <v>85</v>
      </c>
      <c r="J29" s="95">
        <v>50</v>
      </c>
      <c r="K29" s="95">
        <v>57</v>
      </c>
      <c r="L29" s="95">
        <v>2</v>
      </c>
      <c r="M29" s="95">
        <v>3</v>
      </c>
      <c r="N29" s="95">
        <f t="shared" si="0"/>
        <v>130</v>
      </c>
      <c r="O29" s="95">
        <v>1</v>
      </c>
      <c r="P29" s="95">
        <v>2</v>
      </c>
      <c r="Q29" s="95">
        <v>8</v>
      </c>
      <c r="R29" s="95">
        <v>12</v>
      </c>
      <c r="S29" s="95">
        <f t="shared" si="1"/>
        <v>9</v>
      </c>
      <c r="T29" s="8">
        <v>366.3</v>
      </c>
      <c r="U29" s="8">
        <v>549.45</v>
      </c>
      <c r="V29" s="8">
        <v>84.5</v>
      </c>
      <c r="W29" s="8">
        <v>169</v>
      </c>
      <c r="X29" s="8">
        <v>910.58</v>
      </c>
      <c r="Y29" s="91">
        <v>1138</v>
      </c>
      <c r="Z29" s="100">
        <v>1565</v>
      </c>
      <c r="AA29" s="100">
        <v>1956.25</v>
      </c>
      <c r="AB29">
        <f t="shared" si="2"/>
        <v>2841.88</v>
      </c>
    </row>
    <row r="30" spans="1:28">
      <c r="A30" s="2">
        <v>28</v>
      </c>
      <c r="B30" s="2">
        <v>391</v>
      </c>
      <c r="C30" s="2" t="s">
        <v>155</v>
      </c>
      <c r="D30" s="2" t="s">
        <v>104</v>
      </c>
      <c r="E30" s="2" t="s">
        <v>149</v>
      </c>
      <c r="F30" s="8">
        <v>17</v>
      </c>
      <c r="G30" s="8">
        <v>23</v>
      </c>
      <c r="H30" s="8">
        <v>65</v>
      </c>
      <c r="I30" s="95">
        <v>75</v>
      </c>
      <c r="J30" s="95">
        <v>74</v>
      </c>
      <c r="K30" s="95">
        <v>84</v>
      </c>
      <c r="L30" s="95">
        <v>1</v>
      </c>
      <c r="M30" s="95">
        <v>1</v>
      </c>
      <c r="N30" s="95">
        <f t="shared" si="0"/>
        <v>140</v>
      </c>
      <c r="O30" s="95">
        <v>1</v>
      </c>
      <c r="P30" s="95">
        <v>2</v>
      </c>
      <c r="Q30" s="95">
        <v>1</v>
      </c>
      <c r="R30" s="95">
        <v>3</v>
      </c>
      <c r="S30" s="95">
        <f t="shared" si="1"/>
        <v>2</v>
      </c>
      <c r="T30" s="91">
        <v>150</v>
      </c>
      <c r="U30" s="8">
        <v>225</v>
      </c>
      <c r="V30" s="8">
        <v>84.5</v>
      </c>
      <c r="W30" s="8">
        <v>169</v>
      </c>
      <c r="X30" s="8">
        <v>1706.58</v>
      </c>
      <c r="Y30" s="8">
        <v>1877</v>
      </c>
      <c r="Z30" s="100">
        <v>380</v>
      </c>
      <c r="AA30" s="100">
        <v>532</v>
      </c>
      <c r="AB30">
        <f t="shared" si="2"/>
        <v>2236.58</v>
      </c>
    </row>
    <row r="31" spans="1:28">
      <c r="A31" s="2">
        <v>29</v>
      </c>
      <c r="B31" s="2">
        <v>709</v>
      </c>
      <c r="C31" s="2" t="s">
        <v>103</v>
      </c>
      <c r="D31" s="2" t="s">
        <v>104</v>
      </c>
      <c r="E31" s="2" t="s">
        <v>93</v>
      </c>
      <c r="F31" s="8">
        <v>17</v>
      </c>
      <c r="G31" s="8">
        <v>23</v>
      </c>
      <c r="H31" s="8">
        <v>19</v>
      </c>
      <c r="I31" s="95">
        <v>22</v>
      </c>
      <c r="J31" s="95">
        <v>53</v>
      </c>
      <c r="K31" s="95">
        <v>61</v>
      </c>
      <c r="L31" s="95">
        <v>2</v>
      </c>
      <c r="M31" s="95">
        <v>3</v>
      </c>
      <c r="N31" s="95">
        <f t="shared" si="0"/>
        <v>74</v>
      </c>
      <c r="O31" s="95">
        <v>1</v>
      </c>
      <c r="P31" s="95">
        <v>2</v>
      </c>
      <c r="Q31" s="95">
        <v>17</v>
      </c>
      <c r="R31" s="95">
        <v>22</v>
      </c>
      <c r="S31" s="95">
        <f t="shared" si="1"/>
        <v>18</v>
      </c>
      <c r="T31" s="8">
        <v>168.3</v>
      </c>
      <c r="U31" s="8">
        <v>252.45</v>
      </c>
      <c r="V31" s="8">
        <v>84.5</v>
      </c>
      <c r="W31" s="8">
        <v>169</v>
      </c>
      <c r="X31" s="8">
        <v>1164</v>
      </c>
      <c r="Y31" s="8">
        <v>1280</v>
      </c>
      <c r="Z31" s="100">
        <v>1455</v>
      </c>
      <c r="AA31" s="100">
        <v>1818.75</v>
      </c>
      <c r="AB31">
        <f t="shared" si="2"/>
        <v>2787.3</v>
      </c>
    </row>
    <row r="32" spans="1:28">
      <c r="A32" s="2">
        <v>30</v>
      </c>
      <c r="B32" s="2">
        <v>355</v>
      </c>
      <c r="C32" s="2" t="s">
        <v>156</v>
      </c>
      <c r="D32" s="2" t="s">
        <v>95</v>
      </c>
      <c r="E32" s="2" t="s">
        <v>149</v>
      </c>
      <c r="F32" s="8">
        <v>20</v>
      </c>
      <c r="G32" s="8">
        <v>27</v>
      </c>
      <c r="H32" s="8">
        <v>42</v>
      </c>
      <c r="I32" s="95">
        <v>49</v>
      </c>
      <c r="J32" s="95">
        <v>61</v>
      </c>
      <c r="K32" s="95">
        <v>71</v>
      </c>
      <c r="L32" s="95">
        <v>1</v>
      </c>
      <c r="M32" s="95">
        <v>1</v>
      </c>
      <c r="N32" s="95">
        <f t="shared" si="0"/>
        <v>104</v>
      </c>
      <c r="O32" s="95">
        <v>4</v>
      </c>
      <c r="P32" s="95">
        <v>6</v>
      </c>
      <c r="Q32" s="95">
        <v>4</v>
      </c>
      <c r="R32" s="95">
        <v>6</v>
      </c>
      <c r="S32" s="95">
        <f t="shared" si="1"/>
        <v>8</v>
      </c>
      <c r="T32" s="91">
        <v>300</v>
      </c>
      <c r="U32" s="8">
        <v>450</v>
      </c>
      <c r="V32" s="8">
        <v>535.01</v>
      </c>
      <c r="W32" s="8">
        <v>642</v>
      </c>
      <c r="X32" s="8">
        <v>408</v>
      </c>
      <c r="Y32" s="8">
        <v>571</v>
      </c>
      <c r="Z32" s="100">
        <v>3969.2</v>
      </c>
      <c r="AA32" s="100">
        <v>4961.5</v>
      </c>
      <c r="AB32">
        <f t="shared" si="2"/>
        <v>4677.2</v>
      </c>
    </row>
    <row r="33" spans="1:28">
      <c r="A33" s="2">
        <v>31</v>
      </c>
      <c r="B33" s="2">
        <v>349</v>
      </c>
      <c r="C33" s="2" t="s">
        <v>157</v>
      </c>
      <c r="D33" s="2" t="s">
        <v>104</v>
      </c>
      <c r="E33" s="2" t="s">
        <v>149</v>
      </c>
      <c r="F33" s="8">
        <v>17</v>
      </c>
      <c r="G33" s="8">
        <v>23</v>
      </c>
      <c r="H33" s="8">
        <v>64</v>
      </c>
      <c r="I33" s="95">
        <v>73</v>
      </c>
      <c r="J33" s="95">
        <v>47</v>
      </c>
      <c r="K33" s="95">
        <v>53</v>
      </c>
      <c r="L33" s="95">
        <v>2</v>
      </c>
      <c r="M33" s="95">
        <v>3</v>
      </c>
      <c r="N33" s="95">
        <f t="shared" si="0"/>
        <v>113</v>
      </c>
      <c r="O33" s="95">
        <v>1</v>
      </c>
      <c r="P33" s="95">
        <v>2</v>
      </c>
      <c r="Q33" s="95">
        <v>11</v>
      </c>
      <c r="R33" s="95">
        <v>17</v>
      </c>
      <c r="S33" s="95">
        <f t="shared" si="1"/>
        <v>12</v>
      </c>
      <c r="T33" s="8">
        <v>396</v>
      </c>
      <c r="U33" s="8">
        <v>594</v>
      </c>
      <c r="V33" s="8">
        <v>540.01</v>
      </c>
      <c r="W33" s="8">
        <v>648</v>
      </c>
      <c r="X33" s="8">
        <v>274</v>
      </c>
      <c r="Y33" s="8">
        <v>384</v>
      </c>
      <c r="Z33" s="100">
        <v>285</v>
      </c>
      <c r="AA33" s="100">
        <v>399</v>
      </c>
      <c r="AB33">
        <f t="shared" si="2"/>
        <v>955</v>
      </c>
    </row>
    <row r="34" spans="1:28">
      <c r="A34" s="2">
        <v>32</v>
      </c>
      <c r="B34" s="2">
        <v>742</v>
      </c>
      <c r="C34" s="2" t="s">
        <v>158</v>
      </c>
      <c r="D34" s="2" t="s">
        <v>95</v>
      </c>
      <c r="E34" s="2" t="s">
        <v>149</v>
      </c>
      <c r="F34" s="8">
        <v>27</v>
      </c>
      <c r="G34" s="8">
        <v>34</v>
      </c>
      <c r="H34" s="8">
        <v>55</v>
      </c>
      <c r="I34" s="95">
        <v>63</v>
      </c>
      <c r="J34" s="95">
        <v>30</v>
      </c>
      <c r="K34" s="95">
        <v>33</v>
      </c>
      <c r="L34" s="95">
        <v>1</v>
      </c>
      <c r="M34" s="95">
        <v>1</v>
      </c>
      <c r="N34" s="95">
        <f t="shared" si="0"/>
        <v>86</v>
      </c>
      <c r="O34" s="95">
        <v>1</v>
      </c>
      <c r="P34" s="95">
        <v>2</v>
      </c>
      <c r="Q34" s="95">
        <v>7</v>
      </c>
      <c r="R34" s="95">
        <v>11</v>
      </c>
      <c r="S34" s="95">
        <f t="shared" si="1"/>
        <v>8</v>
      </c>
      <c r="T34" s="91">
        <v>300</v>
      </c>
      <c r="U34" s="8">
        <v>450</v>
      </c>
      <c r="V34" s="8">
        <v>168</v>
      </c>
      <c r="W34" s="8">
        <v>252</v>
      </c>
      <c r="X34" s="8">
        <v>969.5</v>
      </c>
      <c r="Y34" s="91">
        <v>1212</v>
      </c>
      <c r="Z34" s="100">
        <v>953</v>
      </c>
      <c r="AA34" s="100">
        <v>1334.2</v>
      </c>
      <c r="AB34">
        <f t="shared" si="2"/>
        <v>2222.5</v>
      </c>
    </row>
    <row r="35" spans="1:28">
      <c r="A35" s="2">
        <v>33</v>
      </c>
      <c r="B35" s="2">
        <v>721</v>
      </c>
      <c r="C35" s="2" t="s">
        <v>173</v>
      </c>
      <c r="D35" s="2" t="s">
        <v>109</v>
      </c>
      <c r="E35" s="2" t="s">
        <v>169</v>
      </c>
      <c r="F35" s="8">
        <v>17</v>
      </c>
      <c r="G35" s="8">
        <v>22</v>
      </c>
      <c r="H35" s="8">
        <v>36</v>
      </c>
      <c r="I35" s="95">
        <v>41</v>
      </c>
      <c r="J35" s="95">
        <v>44</v>
      </c>
      <c r="K35" s="95">
        <v>50</v>
      </c>
      <c r="L35" s="95">
        <v>2</v>
      </c>
      <c r="M35" s="95">
        <v>3</v>
      </c>
      <c r="N35" s="95">
        <f t="shared" si="0"/>
        <v>82</v>
      </c>
      <c r="O35" s="95">
        <v>1</v>
      </c>
      <c r="P35" s="95">
        <v>2</v>
      </c>
      <c r="Q35" s="95">
        <v>7</v>
      </c>
      <c r="R35" s="95">
        <v>11</v>
      </c>
      <c r="S35" s="95">
        <f t="shared" si="1"/>
        <v>8</v>
      </c>
      <c r="T35" s="91">
        <v>150</v>
      </c>
      <c r="U35" s="8">
        <v>225</v>
      </c>
      <c r="V35" s="8">
        <v>84.5</v>
      </c>
      <c r="W35" s="8">
        <v>169</v>
      </c>
      <c r="X35" s="8">
        <v>303.5</v>
      </c>
      <c r="Y35" s="8">
        <v>425</v>
      </c>
      <c r="Z35" s="100">
        <v>1140</v>
      </c>
      <c r="AA35" s="100">
        <v>1425</v>
      </c>
      <c r="AB35">
        <f t="shared" si="2"/>
        <v>1593.5</v>
      </c>
    </row>
    <row r="36" spans="1:28">
      <c r="A36" s="2">
        <v>34</v>
      </c>
      <c r="B36" s="2">
        <v>598</v>
      </c>
      <c r="C36" s="2" t="s">
        <v>134</v>
      </c>
      <c r="D36" s="2" t="s">
        <v>104</v>
      </c>
      <c r="E36" s="2" t="s">
        <v>127</v>
      </c>
      <c r="F36" s="8">
        <v>17</v>
      </c>
      <c r="G36" s="8">
        <v>23</v>
      </c>
      <c r="H36" s="8">
        <v>78</v>
      </c>
      <c r="I36" s="95">
        <v>85</v>
      </c>
      <c r="J36" s="95">
        <v>74</v>
      </c>
      <c r="K36" s="95">
        <v>84</v>
      </c>
      <c r="L36" s="95">
        <v>3</v>
      </c>
      <c r="M36" s="95">
        <v>4</v>
      </c>
      <c r="N36" s="95">
        <f t="shared" ref="N36:N67" si="3">H36+J36+L36</f>
        <v>155</v>
      </c>
      <c r="O36" s="95">
        <v>2</v>
      </c>
      <c r="P36" s="95">
        <v>3</v>
      </c>
      <c r="Q36" s="95">
        <v>8</v>
      </c>
      <c r="R36" s="95">
        <v>12</v>
      </c>
      <c r="S36" s="95">
        <f t="shared" ref="S36:S67" si="4">O36+Q36</f>
        <v>10</v>
      </c>
      <c r="T36" s="91">
        <v>150</v>
      </c>
      <c r="U36" s="8">
        <v>225</v>
      </c>
      <c r="V36" s="8">
        <v>84.5</v>
      </c>
      <c r="W36" s="8">
        <v>169</v>
      </c>
      <c r="X36" s="8">
        <v>507</v>
      </c>
      <c r="Y36" s="91">
        <v>634</v>
      </c>
      <c r="Z36" s="100">
        <v>959</v>
      </c>
      <c r="AA36" s="100">
        <v>1342.6</v>
      </c>
      <c r="AB36">
        <f t="shared" ref="AB36:AB67" si="5">Z36+X36+T36</f>
        <v>1616</v>
      </c>
    </row>
    <row r="37" spans="1:28">
      <c r="A37" s="2">
        <v>35</v>
      </c>
      <c r="B37" s="2">
        <v>367</v>
      </c>
      <c r="C37" s="2" t="s">
        <v>187</v>
      </c>
      <c r="D37" s="2" t="s">
        <v>109</v>
      </c>
      <c r="E37" s="2" t="s">
        <v>188</v>
      </c>
      <c r="F37" s="8">
        <v>17</v>
      </c>
      <c r="G37" s="8">
        <v>22</v>
      </c>
      <c r="H37" s="8">
        <v>24</v>
      </c>
      <c r="I37" s="95">
        <v>28</v>
      </c>
      <c r="J37" s="95">
        <v>61</v>
      </c>
      <c r="K37" s="95">
        <v>71</v>
      </c>
      <c r="L37" s="95">
        <v>1</v>
      </c>
      <c r="M37" s="95">
        <v>1</v>
      </c>
      <c r="N37" s="95">
        <f t="shared" si="3"/>
        <v>86</v>
      </c>
      <c r="O37" s="95">
        <v>1</v>
      </c>
      <c r="P37" s="95">
        <v>2</v>
      </c>
      <c r="Q37" s="95">
        <v>9</v>
      </c>
      <c r="R37" s="95">
        <v>14</v>
      </c>
      <c r="S37" s="95">
        <f t="shared" si="4"/>
        <v>10</v>
      </c>
      <c r="T37" s="8">
        <v>132</v>
      </c>
      <c r="U37" s="8">
        <v>198</v>
      </c>
      <c r="V37" s="8">
        <v>84.5</v>
      </c>
      <c r="W37" s="8">
        <v>169</v>
      </c>
      <c r="X37" s="8">
        <v>536</v>
      </c>
      <c r="Y37" s="91">
        <v>670</v>
      </c>
      <c r="Z37" s="100">
        <v>665</v>
      </c>
      <c r="AA37" s="100">
        <v>931</v>
      </c>
      <c r="AB37">
        <f t="shared" si="5"/>
        <v>1333</v>
      </c>
    </row>
    <row r="38" spans="1:28">
      <c r="A38" s="2">
        <v>36</v>
      </c>
      <c r="B38" s="2">
        <v>399</v>
      </c>
      <c r="C38" s="2" t="s">
        <v>135</v>
      </c>
      <c r="D38" s="2" t="s">
        <v>104</v>
      </c>
      <c r="E38" s="2" t="s">
        <v>127</v>
      </c>
      <c r="F38" s="8">
        <v>17</v>
      </c>
      <c r="G38" s="8">
        <v>23</v>
      </c>
      <c r="H38" s="8">
        <v>62</v>
      </c>
      <c r="I38" s="95">
        <v>71</v>
      </c>
      <c r="J38" s="95">
        <v>53</v>
      </c>
      <c r="K38" s="95">
        <v>61</v>
      </c>
      <c r="L38" s="95">
        <v>5</v>
      </c>
      <c r="M38" s="95">
        <v>7</v>
      </c>
      <c r="N38" s="95">
        <f t="shared" si="3"/>
        <v>120</v>
      </c>
      <c r="O38" s="95">
        <v>1</v>
      </c>
      <c r="P38" s="95">
        <v>2</v>
      </c>
      <c r="Q38" s="95">
        <v>10</v>
      </c>
      <c r="R38" s="95">
        <v>15</v>
      </c>
      <c r="S38" s="95">
        <f t="shared" si="4"/>
        <v>11</v>
      </c>
      <c r="T38" s="8">
        <v>396</v>
      </c>
      <c r="U38" s="8">
        <v>594</v>
      </c>
      <c r="V38" s="8">
        <v>84.5</v>
      </c>
      <c r="W38" s="8">
        <v>169</v>
      </c>
      <c r="X38" s="8">
        <v>551</v>
      </c>
      <c r="Y38" s="91">
        <v>689</v>
      </c>
      <c r="Z38" s="100">
        <v>1447</v>
      </c>
      <c r="AA38" s="100">
        <v>1808.75</v>
      </c>
      <c r="AB38">
        <f t="shared" si="5"/>
        <v>2394</v>
      </c>
    </row>
    <row r="39" spans="1:28">
      <c r="A39" s="2">
        <v>37</v>
      </c>
      <c r="B39" s="2">
        <v>379</v>
      </c>
      <c r="C39" s="2" t="s">
        <v>105</v>
      </c>
      <c r="D39" s="2" t="s">
        <v>104</v>
      </c>
      <c r="E39" s="2" t="s">
        <v>93</v>
      </c>
      <c r="F39" s="8">
        <v>17</v>
      </c>
      <c r="G39" s="8">
        <v>23</v>
      </c>
      <c r="H39" s="8">
        <v>30</v>
      </c>
      <c r="I39" s="95">
        <v>35</v>
      </c>
      <c r="J39" s="95">
        <v>47</v>
      </c>
      <c r="K39" s="95">
        <v>53</v>
      </c>
      <c r="L39" s="95">
        <v>2</v>
      </c>
      <c r="M39" s="95">
        <v>3</v>
      </c>
      <c r="N39" s="95">
        <f t="shared" si="3"/>
        <v>79</v>
      </c>
      <c r="O39" s="95">
        <v>1</v>
      </c>
      <c r="P39" s="95">
        <v>2</v>
      </c>
      <c r="Q39" s="95">
        <v>5</v>
      </c>
      <c r="R39" s="95">
        <v>8</v>
      </c>
      <c r="S39" s="95">
        <f t="shared" si="4"/>
        <v>6</v>
      </c>
      <c r="T39" s="8">
        <v>858</v>
      </c>
      <c r="U39" s="8">
        <v>1201.2</v>
      </c>
      <c r="V39" s="8">
        <v>84.5</v>
      </c>
      <c r="W39" s="8">
        <v>169</v>
      </c>
      <c r="X39" s="8">
        <v>441.5</v>
      </c>
      <c r="Y39" s="8">
        <v>618</v>
      </c>
      <c r="Z39" s="100">
        <v>1755</v>
      </c>
      <c r="AA39" s="100">
        <v>2193.75</v>
      </c>
      <c r="AB39">
        <f t="shared" si="5"/>
        <v>3054.5</v>
      </c>
    </row>
    <row r="40" spans="1:28">
      <c r="A40" s="2">
        <v>38</v>
      </c>
      <c r="B40" s="2">
        <v>511</v>
      </c>
      <c r="C40" s="2" t="s">
        <v>159</v>
      </c>
      <c r="D40" s="2" t="s">
        <v>107</v>
      </c>
      <c r="E40" s="2" t="s">
        <v>149</v>
      </c>
      <c r="F40" s="8">
        <v>17</v>
      </c>
      <c r="G40" s="8">
        <v>22</v>
      </c>
      <c r="H40" s="8">
        <v>35</v>
      </c>
      <c r="I40" s="95">
        <v>40</v>
      </c>
      <c r="J40" s="95">
        <v>34</v>
      </c>
      <c r="K40" s="95">
        <v>38</v>
      </c>
      <c r="L40" s="95">
        <v>2</v>
      </c>
      <c r="M40" s="95">
        <v>3</v>
      </c>
      <c r="N40" s="95">
        <f t="shared" si="3"/>
        <v>71</v>
      </c>
      <c r="O40" s="95">
        <v>1</v>
      </c>
      <c r="P40" s="95">
        <v>2</v>
      </c>
      <c r="Q40" s="95">
        <v>7</v>
      </c>
      <c r="R40" s="95">
        <v>11</v>
      </c>
      <c r="S40" s="95">
        <f t="shared" si="4"/>
        <v>8</v>
      </c>
      <c r="T40" s="8">
        <v>257</v>
      </c>
      <c r="U40" s="8">
        <v>385.5</v>
      </c>
      <c r="V40" s="8">
        <v>84.5</v>
      </c>
      <c r="W40" s="8">
        <v>169</v>
      </c>
      <c r="X40" s="8">
        <v>1004.5</v>
      </c>
      <c r="Y40" s="8">
        <v>1105</v>
      </c>
      <c r="Z40" s="100">
        <v>2078.68</v>
      </c>
      <c r="AA40" s="100">
        <v>2598.35</v>
      </c>
      <c r="AB40">
        <f t="shared" si="5"/>
        <v>3340.18</v>
      </c>
    </row>
    <row r="41" spans="1:28">
      <c r="A41" s="2">
        <v>39</v>
      </c>
      <c r="B41" s="2">
        <v>54</v>
      </c>
      <c r="C41" s="2" t="s">
        <v>189</v>
      </c>
      <c r="D41" s="2" t="s">
        <v>104</v>
      </c>
      <c r="E41" s="2" t="s">
        <v>188</v>
      </c>
      <c r="F41" s="8">
        <v>17</v>
      </c>
      <c r="G41" s="8">
        <v>23</v>
      </c>
      <c r="H41" s="8">
        <v>33</v>
      </c>
      <c r="I41" s="95">
        <v>38</v>
      </c>
      <c r="J41" s="95">
        <v>63</v>
      </c>
      <c r="K41" s="95">
        <v>73</v>
      </c>
      <c r="L41" s="95">
        <v>2</v>
      </c>
      <c r="M41" s="95">
        <v>3</v>
      </c>
      <c r="N41" s="95">
        <f t="shared" si="3"/>
        <v>98</v>
      </c>
      <c r="O41" s="95">
        <v>1</v>
      </c>
      <c r="P41" s="95">
        <v>2</v>
      </c>
      <c r="Q41" s="95">
        <v>23</v>
      </c>
      <c r="R41" s="95">
        <v>30</v>
      </c>
      <c r="S41" s="95">
        <f t="shared" si="4"/>
        <v>24</v>
      </c>
      <c r="T41" s="8">
        <v>780</v>
      </c>
      <c r="U41" s="8">
        <v>1092</v>
      </c>
      <c r="V41" s="8">
        <v>84.5</v>
      </c>
      <c r="W41" s="8">
        <v>169</v>
      </c>
      <c r="X41" s="8">
        <v>685</v>
      </c>
      <c r="Y41" s="91">
        <v>856</v>
      </c>
      <c r="Z41" s="100">
        <v>6337</v>
      </c>
      <c r="AA41" s="100">
        <v>6970.7</v>
      </c>
      <c r="AB41">
        <f t="shared" si="5"/>
        <v>7802</v>
      </c>
    </row>
    <row r="42" spans="1:28">
      <c r="A42" s="2">
        <v>40</v>
      </c>
      <c r="B42" s="2">
        <v>52</v>
      </c>
      <c r="C42" s="2" t="s">
        <v>190</v>
      </c>
      <c r="D42" s="2" t="s">
        <v>104</v>
      </c>
      <c r="E42" s="2" t="s">
        <v>188</v>
      </c>
      <c r="F42" s="8">
        <v>17</v>
      </c>
      <c r="G42" s="8">
        <v>23</v>
      </c>
      <c r="H42" s="8">
        <v>35</v>
      </c>
      <c r="I42" s="95">
        <v>40</v>
      </c>
      <c r="J42" s="95">
        <v>36</v>
      </c>
      <c r="K42" s="95">
        <v>41</v>
      </c>
      <c r="L42" s="95">
        <v>2</v>
      </c>
      <c r="M42" s="95">
        <v>3</v>
      </c>
      <c r="N42" s="95">
        <f t="shared" si="3"/>
        <v>73</v>
      </c>
      <c r="O42" s="95">
        <v>1</v>
      </c>
      <c r="P42" s="95">
        <v>2</v>
      </c>
      <c r="Q42" s="95">
        <v>14</v>
      </c>
      <c r="R42" s="95">
        <v>18</v>
      </c>
      <c r="S42" s="95">
        <f t="shared" si="4"/>
        <v>15</v>
      </c>
      <c r="T42" s="8">
        <v>136</v>
      </c>
      <c r="U42" s="8">
        <v>204</v>
      </c>
      <c r="V42" s="8">
        <v>84.5</v>
      </c>
      <c r="W42" s="8">
        <v>169</v>
      </c>
      <c r="X42" s="8">
        <v>935.01</v>
      </c>
      <c r="Y42" s="91">
        <v>1169</v>
      </c>
      <c r="Z42" s="100">
        <v>2573.76</v>
      </c>
      <c r="AA42" s="100">
        <v>3217.2</v>
      </c>
      <c r="AB42">
        <f t="shared" si="5"/>
        <v>3644.77</v>
      </c>
    </row>
    <row r="43" spans="1:28">
      <c r="A43" s="2">
        <v>41</v>
      </c>
      <c r="B43" s="2">
        <v>573</v>
      </c>
      <c r="C43" s="2" t="s">
        <v>136</v>
      </c>
      <c r="D43" s="2" t="s">
        <v>107</v>
      </c>
      <c r="E43" s="2" t="s">
        <v>127</v>
      </c>
      <c r="F43" s="8">
        <v>6</v>
      </c>
      <c r="G43" s="8">
        <v>11</v>
      </c>
      <c r="H43" s="8">
        <v>41</v>
      </c>
      <c r="I43" s="95">
        <v>47</v>
      </c>
      <c r="J43" s="95">
        <v>60</v>
      </c>
      <c r="K43" s="95">
        <v>69</v>
      </c>
      <c r="L43" s="95">
        <v>2</v>
      </c>
      <c r="M43" s="95">
        <v>3</v>
      </c>
      <c r="N43" s="95">
        <f t="shared" si="3"/>
        <v>103</v>
      </c>
      <c r="O43" s="95">
        <v>1</v>
      </c>
      <c r="P43" s="95">
        <v>2</v>
      </c>
      <c r="Q43" s="95">
        <v>2</v>
      </c>
      <c r="R43" s="95">
        <v>4</v>
      </c>
      <c r="S43" s="95">
        <f t="shared" si="4"/>
        <v>3</v>
      </c>
      <c r="T43" s="91">
        <v>150</v>
      </c>
      <c r="U43" s="8">
        <v>225</v>
      </c>
      <c r="V43" s="8">
        <v>84.5</v>
      </c>
      <c r="W43" s="8">
        <v>169</v>
      </c>
      <c r="X43" s="8">
        <v>784.44</v>
      </c>
      <c r="Y43" s="91">
        <v>981</v>
      </c>
      <c r="Z43" s="100">
        <v>389.01</v>
      </c>
      <c r="AA43" s="100">
        <v>544.61</v>
      </c>
      <c r="AB43">
        <f t="shared" si="5"/>
        <v>1323.45</v>
      </c>
    </row>
    <row r="44" spans="1:28">
      <c r="A44" s="2">
        <v>42</v>
      </c>
      <c r="B44" s="2">
        <v>745</v>
      </c>
      <c r="C44" s="2" t="s">
        <v>106</v>
      </c>
      <c r="D44" s="2" t="s">
        <v>107</v>
      </c>
      <c r="E44" s="2" t="s">
        <v>93</v>
      </c>
      <c r="F44" s="8">
        <v>17</v>
      </c>
      <c r="G44" s="8">
        <v>22</v>
      </c>
      <c r="H44" s="8">
        <v>45</v>
      </c>
      <c r="I44" s="95">
        <v>52</v>
      </c>
      <c r="J44" s="95">
        <v>67</v>
      </c>
      <c r="K44" s="95">
        <v>78</v>
      </c>
      <c r="L44" s="95">
        <v>2</v>
      </c>
      <c r="M44" s="95">
        <v>3</v>
      </c>
      <c r="N44" s="95">
        <f t="shared" si="3"/>
        <v>114</v>
      </c>
      <c r="O44" s="95">
        <v>1</v>
      </c>
      <c r="P44" s="95">
        <v>2</v>
      </c>
      <c r="Q44" s="95">
        <v>1</v>
      </c>
      <c r="R44" s="95">
        <v>3</v>
      </c>
      <c r="S44" s="95">
        <f t="shared" si="4"/>
        <v>2</v>
      </c>
      <c r="T44" s="91">
        <v>150</v>
      </c>
      <c r="U44" s="8">
        <v>225</v>
      </c>
      <c r="V44" s="8">
        <v>84.5</v>
      </c>
      <c r="W44" s="8">
        <v>169</v>
      </c>
      <c r="X44" s="8">
        <v>651.5</v>
      </c>
      <c r="Y44" s="91">
        <v>814</v>
      </c>
      <c r="Z44" s="100">
        <v>652</v>
      </c>
      <c r="AA44" s="100">
        <v>912.8</v>
      </c>
      <c r="AB44">
        <f t="shared" si="5"/>
        <v>1453.5</v>
      </c>
    </row>
    <row r="45" spans="1:28">
      <c r="A45" s="2">
        <v>43</v>
      </c>
      <c r="B45" s="2">
        <v>377</v>
      </c>
      <c r="C45" s="2" t="s">
        <v>137</v>
      </c>
      <c r="D45" s="2" t="s">
        <v>104</v>
      </c>
      <c r="E45" s="2" t="s">
        <v>127</v>
      </c>
      <c r="F45" s="8">
        <v>17</v>
      </c>
      <c r="G45" s="8">
        <v>23</v>
      </c>
      <c r="H45" s="8">
        <v>77</v>
      </c>
      <c r="I45" s="95">
        <v>84</v>
      </c>
      <c r="J45" s="95">
        <v>80</v>
      </c>
      <c r="K45" s="95">
        <v>91</v>
      </c>
      <c r="L45" s="95">
        <v>2</v>
      </c>
      <c r="M45" s="95">
        <v>3</v>
      </c>
      <c r="N45" s="95">
        <f t="shared" si="3"/>
        <v>159</v>
      </c>
      <c r="O45" s="95">
        <v>4</v>
      </c>
      <c r="P45" s="95">
        <v>6</v>
      </c>
      <c r="Q45" s="95">
        <v>5</v>
      </c>
      <c r="R45" s="95">
        <v>8</v>
      </c>
      <c r="S45" s="95">
        <f t="shared" si="4"/>
        <v>9</v>
      </c>
      <c r="T45" s="8">
        <v>390</v>
      </c>
      <c r="U45" s="8">
        <v>585</v>
      </c>
      <c r="V45" s="8">
        <v>84.5</v>
      </c>
      <c r="W45" s="8">
        <v>169</v>
      </c>
      <c r="X45" s="8">
        <v>851</v>
      </c>
      <c r="Y45" s="91">
        <v>1064</v>
      </c>
      <c r="Z45" s="100">
        <v>1357</v>
      </c>
      <c r="AA45" s="100">
        <v>1696.25</v>
      </c>
      <c r="AB45">
        <f t="shared" si="5"/>
        <v>2598</v>
      </c>
    </row>
    <row r="46" spans="1:28">
      <c r="A46" s="2">
        <v>44</v>
      </c>
      <c r="B46" s="2">
        <v>743</v>
      </c>
      <c r="C46" s="2" t="s">
        <v>138</v>
      </c>
      <c r="D46" s="2" t="s">
        <v>139</v>
      </c>
      <c r="E46" s="2" t="s">
        <v>127</v>
      </c>
      <c r="F46" s="8">
        <v>6</v>
      </c>
      <c r="G46" s="8">
        <v>9</v>
      </c>
      <c r="H46" s="8">
        <v>36</v>
      </c>
      <c r="I46" s="95">
        <v>41</v>
      </c>
      <c r="J46" s="95">
        <v>27</v>
      </c>
      <c r="K46" s="95">
        <v>29</v>
      </c>
      <c r="L46" s="95">
        <v>3</v>
      </c>
      <c r="M46" s="95">
        <v>4</v>
      </c>
      <c r="N46" s="95">
        <f t="shared" si="3"/>
        <v>66</v>
      </c>
      <c r="O46" s="95">
        <v>1</v>
      </c>
      <c r="P46" s="95">
        <v>2</v>
      </c>
      <c r="Q46" s="95">
        <v>1</v>
      </c>
      <c r="R46" s="95">
        <v>3</v>
      </c>
      <c r="S46" s="95">
        <f t="shared" si="4"/>
        <v>2</v>
      </c>
      <c r="T46" s="8">
        <v>100</v>
      </c>
      <c r="U46" s="8">
        <v>150</v>
      </c>
      <c r="V46" s="8">
        <v>84.5</v>
      </c>
      <c r="W46" s="8">
        <v>169</v>
      </c>
      <c r="X46" s="8">
        <v>545</v>
      </c>
      <c r="Y46" s="91">
        <v>681</v>
      </c>
      <c r="Z46" s="100">
        <v>1720</v>
      </c>
      <c r="AA46" s="100">
        <v>2150</v>
      </c>
      <c r="AB46">
        <f t="shared" si="5"/>
        <v>2365</v>
      </c>
    </row>
    <row r="47" spans="1:28">
      <c r="A47" s="2">
        <v>45</v>
      </c>
      <c r="B47" s="2">
        <v>347</v>
      </c>
      <c r="C47" s="2" t="s">
        <v>108</v>
      </c>
      <c r="D47" s="2" t="s">
        <v>109</v>
      </c>
      <c r="E47" s="2" t="s">
        <v>93</v>
      </c>
      <c r="F47" s="8">
        <v>17</v>
      </c>
      <c r="G47" s="8">
        <v>22</v>
      </c>
      <c r="H47" s="8">
        <v>15</v>
      </c>
      <c r="I47" s="95">
        <v>17</v>
      </c>
      <c r="J47" s="95">
        <v>55</v>
      </c>
      <c r="K47" s="95">
        <v>63</v>
      </c>
      <c r="L47" s="95">
        <v>6</v>
      </c>
      <c r="M47" s="95">
        <v>8</v>
      </c>
      <c r="N47" s="95">
        <f t="shared" si="3"/>
        <v>76</v>
      </c>
      <c r="O47" s="95">
        <v>1</v>
      </c>
      <c r="P47" s="95">
        <v>2</v>
      </c>
      <c r="Q47" s="95">
        <v>6</v>
      </c>
      <c r="R47" s="95">
        <v>9</v>
      </c>
      <c r="S47" s="95">
        <f t="shared" si="4"/>
        <v>7</v>
      </c>
      <c r="T47" s="91">
        <v>150</v>
      </c>
      <c r="U47" s="8">
        <v>225</v>
      </c>
      <c r="V47" s="8">
        <v>84.5</v>
      </c>
      <c r="W47" s="8">
        <v>169</v>
      </c>
      <c r="X47" s="8">
        <v>838.5</v>
      </c>
      <c r="Y47" s="91">
        <v>1048</v>
      </c>
      <c r="Z47" s="100">
        <v>744.9</v>
      </c>
      <c r="AA47" s="100">
        <v>1042.86</v>
      </c>
      <c r="AB47">
        <f t="shared" si="5"/>
        <v>1733.4</v>
      </c>
    </row>
    <row r="48" spans="1:28">
      <c r="A48" s="2">
        <v>46</v>
      </c>
      <c r="B48" s="2">
        <v>717</v>
      </c>
      <c r="C48" s="2" t="s">
        <v>174</v>
      </c>
      <c r="D48" s="2" t="s">
        <v>109</v>
      </c>
      <c r="E48" s="2" t="s">
        <v>169</v>
      </c>
      <c r="F48" s="8">
        <v>6</v>
      </c>
      <c r="G48" s="8">
        <v>11</v>
      </c>
      <c r="H48" s="8">
        <v>23</v>
      </c>
      <c r="I48" s="95">
        <v>27</v>
      </c>
      <c r="J48" s="95">
        <v>29</v>
      </c>
      <c r="K48" s="95">
        <v>32</v>
      </c>
      <c r="L48" s="95">
        <v>1</v>
      </c>
      <c r="M48" s="95">
        <v>1</v>
      </c>
      <c r="N48" s="95">
        <f t="shared" si="3"/>
        <v>53</v>
      </c>
      <c r="O48" s="95">
        <v>1</v>
      </c>
      <c r="P48" s="95">
        <v>2</v>
      </c>
      <c r="Q48" s="95">
        <v>2</v>
      </c>
      <c r="R48" s="95">
        <v>4</v>
      </c>
      <c r="S48" s="95">
        <f t="shared" si="4"/>
        <v>3</v>
      </c>
      <c r="T48" s="91">
        <v>150</v>
      </c>
      <c r="U48" s="8">
        <v>225</v>
      </c>
      <c r="V48" s="8">
        <v>84.5</v>
      </c>
      <c r="W48" s="8">
        <v>169</v>
      </c>
      <c r="X48" s="8">
        <v>832.67</v>
      </c>
      <c r="Y48" s="91">
        <v>1041</v>
      </c>
      <c r="Z48" s="100">
        <v>380</v>
      </c>
      <c r="AA48" s="100">
        <v>530</v>
      </c>
      <c r="AB48">
        <f t="shared" si="5"/>
        <v>1362.67</v>
      </c>
    </row>
    <row r="49" spans="1:28">
      <c r="A49" s="2">
        <v>47</v>
      </c>
      <c r="B49" s="2">
        <v>587</v>
      </c>
      <c r="C49" s="2" t="s">
        <v>191</v>
      </c>
      <c r="D49" s="2" t="s">
        <v>104</v>
      </c>
      <c r="E49" s="2" t="s">
        <v>188</v>
      </c>
      <c r="F49" s="8">
        <v>17</v>
      </c>
      <c r="G49" s="8">
        <v>23</v>
      </c>
      <c r="H49" s="8">
        <v>35</v>
      </c>
      <c r="I49" s="95">
        <v>40</v>
      </c>
      <c r="J49" s="95">
        <v>47</v>
      </c>
      <c r="K49" s="95">
        <v>53</v>
      </c>
      <c r="L49" s="95">
        <v>2</v>
      </c>
      <c r="M49" s="95">
        <v>3</v>
      </c>
      <c r="N49" s="95">
        <f t="shared" si="3"/>
        <v>84</v>
      </c>
      <c r="O49" s="95">
        <v>1</v>
      </c>
      <c r="P49" s="95">
        <v>2</v>
      </c>
      <c r="Q49" s="95">
        <v>15</v>
      </c>
      <c r="R49" s="95">
        <v>20</v>
      </c>
      <c r="S49" s="95">
        <f t="shared" si="4"/>
        <v>16</v>
      </c>
      <c r="T49" s="8">
        <v>2410</v>
      </c>
      <c r="U49" s="8">
        <v>2892</v>
      </c>
      <c r="V49" s="8">
        <v>256.51</v>
      </c>
      <c r="W49" s="8">
        <v>384.8</v>
      </c>
      <c r="X49" s="8">
        <v>753.5</v>
      </c>
      <c r="Y49" s="91">
        <v>942</v>
      </c>
      <c r="Z49" s="100">
        <v>977</v>
      </c>
      <c r="AA49" s="100">
        <v>1367.8</v>
      </c>
      <c r="AB49">
        <f t="shared" si="5"/>
        <v>4140.5</v>
      </c>
    </row>
    <row r="50" spans="1:28">
      <c r="A50" s="2">
        <v>48</v>
      </c>
      <c r="B50" s="2">
        <v>747</v>
      </c>
      <c r="C50" s="2" t="s">
        <v>160</v>
      </c>
      <c r="D50" s="2" t="s">
        <v>139</v>
      </c>
      <c r="E50" s="2" t="s">
        <v>149</v>
      </c>
      <c r="F50" s="8">
        <v>6</v>
      </c>
      <c r="G50" s="8">
        <v>9</v>
      </c>
      <c r="H50" s="8">
        <v>10</v>
      </c>
      <c r="I50" s="95">
        <v>10</v>
      </c>
      <c r="J50" s="95">
        <v>27</v>
      </c>
      <c r="K50" s="95">
        <v>29</v>
      </c>
      <c r="L50" s="95">
        <v>1</v>
      </c>
      <c r="M50" s="95">
        <v>1</v>
      </c>
      <c r="N50" s="95">
        <f t="shared" si="3"/>
        <v>38</v>
      </c>
      <c r="O50" s="95">
        <v>2</v>
      </c>
      <c r="P50" s="95">
        <v>3</v>
      </c>
      <c r="Q50" s="95">
        <v>10</v>
      </c>
      <c r="R50" s="95">
        <v>15</v>
      </c>
      <c r="S50" s="95">
        <f t="shared" si="4"/>
        <v>12</v>
      </c>
      <c r="T50" s="8">
        <v>910.5</v>
      </c>
      <c r="U50" s="8">
        <v>1274.7</v>
      </c>
      <c r="V50" s="8">
        <v>84.5</v>
      </c>
      <c r="W50" s="8">
        <v>169</v>
      </c>
      <c r="X50" s="8">
        <v>508.5</v>
      </c>
      <c r="Y50" s="91">
        <v>636</v>
      </c>
      <c r="Z50" s="100">
        <v>763</v>
      </c>
      <c r="AA50" s="100">
        <v>1068.2</v>
      </c>
      <c r="AB50">
        <f t="shared" si="5"/>
        <v>2182</v>
      </c>
    </row>
    <row r="51" spans="1:28">
      <c r="A51" s="2">
        <v>49</v>
      </c>
      <c r="B51" s="2">
        <v>591</v>
      </c>
      <c r="C51" s="2" t="s">
        <v>175</v>
      </c>
      <c r="D51" s="2" t="s">
        <v>109</v>
      </c>
      <c r="E51" s="2" t="s">
        <v>169</v>
      </c>
      <c r="F51" s="8">
        <v>17</v>
      </c>
      <c r="G51" s="8">
        <v>22</v>
      </c>
      <c r="H51" s="8">
        <v>65</v>
      </c>
      <c r="I51" s="95">
        <v>75</v>
      </c>
      <c r="J51" s="95">
        <v>53</v>
      </c>
      <c r="K51" s="95">
        <v>61</v>
      </c>
      <c r="L51" s="95">
        <v>2</v>
      </c>
      <c r="M51" s="95">
        <v>3</v>
      </c>
      <c r="N51" s="95">
        <f t="shared" si="3"/>
        <v>120</v>
      </c>
      <c r="O51" s="95">
        <v>1</v>
      </c>
      <c r="P51" s="95">
        <v>2</v>
      </c>
      <c r="Q51" s="95">
        <v>3</v>
      </c>
      <c r="R51" s="95">
        <v>5</v>
      </c>
      <c r="S51" s="95">
        <f t="shared" si="4"/>
        <v>4</v>
      </c>
      <c r="T51" s="8">
        <v>168.3</v>
      </c>
      <c r="U51" s="8">
        <v>252.45</v>
      </c>
      <c r="V51" s="8">
        <v>84.5</v>
      </c>
      <c r="W51" s="8">
        <v>169</v>
      </c>
      <c r="X51" s="8">
        <v>583.45</v>
      </c>
      <c r="Y51" s="91">
        <v>729</v>
      </c>
      <c r="Z51" s="100">
        <v>1235</v>
      </c>
      <c r="AA51" s="100">
        <v>1543.75</v>
      </c>
      <c r="AB51">
        <f t="shared" si="5"/>
        <v>1986.75</v>
      </c>
    </row>
    <row r="52" spans="1:28">
      <c r="A52" s="2">
        <v>50</v>
      </c>
      <c r="B52" s="2">
        <v>727</v>
      </c>
      <c r="C52" s="2" t="s">
        <v>110</v>
      </c>
      <c r="D52" s="2" t="s">
        <v>107</v>
      </c>
      <c r="E52" s="2" t="s">
        <v>93</v>
      </c>
      <c r="F52" s="8">
        <v>6</v>
      </c>
      <c r="G52" s="8">
        <v>11</v>
      </c>
      <c r="H52" s="8">
        <v>12</v>
      </c>
      <c r="I52" s="95">
        <v>13</v>
      </c>
      <c r="J52" s="95">
        <v>32</v>
      </c>
      <c r="K52" s="95">
        <v>36</v>
      </c>
      <c r="L52" s="95">
        <v>1</v>
      </c>
      <c r="M52" s="95">
        <v>1</v>
      </c>
      <c r="N52" s="95">
        <f t="shared" si="3"/>
        <v>45</v>
      </c>
      <c r="O52" s="95">
        <v>3</v>
      </c>
      <c r="P52" s="95">
        <v>4</v>
      </c>
      <c r="Q52" s="95">
        <v>1</v>
      </c>
      <c r="R52" s="95">
        <v>3</v>
      </c>
      <c r="S52" s="95">
        <f t="shared" si="4"/>
        <v>4</v>
      </c>
      <c r="T52" s="91">
        <v>150</v>
      </c>
      <c r="U52" s="8">
        <v>225</v>
      </c>
      <c r="V52" s="8">
        <v>1339.52</v>
      </c>
      <c r="W52" s="8">
        <v>1540.4</v>
      </c>
      <c r="X52" s="8">
        <v>479.5</v>
      </c>
      <c r="Y52" s="8">
        <v>671</v>
      </c>
      <c r="Z52" s="100">
        <v>1054</v>
      </c>
      <c r="AA52" s="100">
        <v>1317.5</v>
      </c>
      <c r="AB52">
        <f t="shared" si="5"/>
        <v>1683.5</v>
      </c>
    </row>
    <row r="53" spans="1:28">
      <c r="A53" s="2">
        <v>51</v>
      </c>
      <c r="B53" s="2">
        <v>748</v>
      </c>
      <c r="C53" s="2" t="s">
        <v>176</v>
      </c>
      <c r="D53" s="2" t="s">
        <v>113</v>
      </c>
      <c r="E53" s="2" t="s">
        <v>169</v>
      </c>
      <c r="F53" s="8">
        <v>6</v>
      </c>
      <c r="G53" s="8">
        <v>9</v>
      </c>
      <c r="H53" s="8">
        <v>21</v>
      </c>
      <c r="I53" s="95">
        <v>24</v>
      </c>
      <c r="J53" s="95">
        <v>14</v>
      </c>
      <c r="K53" s="95">
        <v>13</v>
      </c>
      <c r="L53" s="95">
        <v>2</v>
      </c>
      <c r="M53" s="95">
        <v>3</v>
      </c>
      <c r="N53" s="95">
        <f t="shared" si="3"/>
        <v>37</v>
      </c>
      <c r="O53" s="95">
        <v>1</v>
      </c>
      <c r="P53" s="95">
        <v>2</v>
      </c>
      <c r="Q53" s="95">
        <v>7</v>
      </c>
      <c r="R53" s="95">
        <v>11</v>
      </c>
      <c r="S53" s="95">
        <f t="shared" si="4"/>
        <v>8</v>
      </c>
      <c r="T53" s="8">
        <v>264</v>
      </c>
      <c r="U53" s="8">
        <v>396</v>
      </c>
      <c r="V53" s="8">
        <v>169</v>
      </c>
      <c r="W53" s="8">
        <v>253.5</v>
      </c>
      <c r="X53" s="8">
        <v>983.54</v>
      </c>
      <c r="Y53" s="91">
        <v>1229</v>
      </c>
      <c r="Z53" s="100">
        <v>752</v>
      </c>
      <c r="AA53" s="100">
        <v>1052.8</v>
      </c>
      <c r="AB53">
        <f t="shared" si="5"/>
        <v>1999.54</v>
      </c>
    </row>
    <row r="54" spans="1:28">
      <c r="A54" s="2">
        <v>52</v>
      </c>
      <c r="B54" s="2">
        <v>584</v>
      </c>
      <c r="C54" s="2" t="s">
        <v>140</v>
      </c>
      <c r="D54" s="2" t="s">
        <v>139</v>
      </c>
      <c r="E54" s="2" t="s">
        <v>127</v>
      </c>
      <c r="F54" s="8">
        <v>6</v>
      </c>
      <c r="G54" s="8">
        <v>9</v>
      </c>
      <c r="H54" s="8">
        <v>11</v>
      </c>
      <c r="I54" s="95">
        <v>12</v>
      </c>
      <c r="J54" s="95">
        <v>39</v>
      </c>
      <c r="K54" s="95">
        <v>45</v>
      </c>
      <c r="L54" s="95">
        <v>3</v>
      </c>
      <c r="M54" s="95">
        <v>4</v>
      </c>
      <c r="N54" s="95">
        <f t="shared" si="3"/>
        <v>53</v>
      </c>
      <c r="O54" s="95">
        <v>1</v>
      </c>
      <c r="P54" s="95">
        <v>2</v>
      </c>
      <c r="Q54" s="95">
        <v>10</v>
      </c>
      <c r="R54" s="95">
        <v>15</v>
      </c>
      <c r="S54" s="95">
        <f t="shared" si="4"/>
        <v>11</v>
      </c>
      <c r="T54" s="8">
        <v>270</v>
      </c>
      <c r="U54" s="8">
        <v>405</v>
      </c>
      <c r="V54" s="8">
        <v>360.01</v>
      </c>
      <c r="W54" s="8">
        <v>540</v>
      </c>
      <c r="X54" s="8">
        <v>732</v>
      </c>
      <c r="Y54" s="91">
        <v>915</v>
      </c>
      <c r="Z54" s="100">
        <v>1556</v>
      </c>
      <c r="AA54" s="100">
        <v>1945</v>
      </c>
      <c r="AB54">
        <f t="shared" si="5"/>
        <v>2558</v>
      </c>
    </row>
    <row r="55" spans="1:28">
      <c r="A55" s="2">
        <v>53</v>
      </c>
      <c r="B55" s="2">
        <v>329</v>
      </c>
      <c r="C55" s="2" t="s">
        <v>192</v>
      </c>
      <c r="D55" s="2" t="s">
        <v>95</v>
      </c>
      <c r="E55" s="2" t="s">
        <v>188</v>
      </c>
      <c r="F55" s="8">
        <v>20</v>
      </c>
      <c r="G55" s="8">
        <v>27</v>
      </c>
      <c r="H55" s="8">
        <v>18</v>
      </c>
      <c r="I55" s="95">
        <v>20</v>
      </c>
      <c r="J55" s="95">
        <v>37</v>
      </c>
      <c r="K55" s="95">
        <v>42</v>
      </c>
      <c r="L55" s="95">
        <v>4</v>
      </c>
      <c r="M55" s="95">
        <v>5</v>
      </c>
      <c r="N55" s="95">
        <f t="shared" si="3"/>
        <v>59</v>
      </c>
      <c r="O55" s="95">
        <v>1</v>
      </c>
      <c r="P55" s="95">
        <v>2</v>
      </c>
      <c r="Q55" s="95">
        <v>26</v>
      </c>
      <c r="R55" s="95">
        <v>34</v>
      </c>
      <c r="S55" s="95">
        <f t="shared" si="4"/>
        <v>27</v>
      </c>
      <c r="T55" s="8">
        <v>600.6</v>
      </c>
      <c r="U55" s="8">
        <v>840.84</v>
      </c>
      <c r="V55" s="8">
        <v>616.8</v>
      </c>
      <c r="W55" s="8">
        <v>740.2</v>
      </c>
      <c r="X55" s="8">
        <v>418.5</v>
      </c>
      <c r="Y55" s="8">
        <v>586</v>
      </c>
      <c r="Z55" s="100">
        <v>3976</v>
      </c>
      <c r="AA55" s="100">
        <v>4970</v>
      </c>
      <c r="AB55">
        <f t="shared" si="5"/>
        <v>4995.1</v>
      </c>
    </row>
    <row r="56" spans="1:28">
      <c r="A56" s="2">
        <v>54</v>
      </c>
      <c r="B56" s="2">
        <v>737</v>
      </c>
      <c r="C56" s="2" t="s">
        <v>141</v>
      </c>
      <c r="D56" s="2" t="s">
        <v>107</v>
      </c>
      <c r="E56" s="2" t="s">
        <v>127</v>
      </c>
      <c r="F56" s="8">
        <v>17</v>
      </c>
      <c r="G56" s="8">
        <v>22</v>
      </c>
      <c r="H56" s="8">
        <v>35</v>
      </c>
      <c r="I56" s="95">
        <v>40</v>
      </c>
      <c r="J56" s="95">
        <v>76</v>
      </c>
      <c r="K56" s="95">
        <v>86</v>
      </c>
      <c r="L56" s="95">
        <v>4</v>
      </c>
      <c r="M56" s="95">
        <v>5</v>
      </c>
      <c r="N56" s="95">
        <f t="shared" si="3"/>
        <v>115</v>
      </c>
      <c r="O56" s="95">
        <v>6</v>
      </c>
      <c r="P56" s="95">
        <v>9</v>
      </c>
      <c r="Q56" s="95">
        <v>6</v>
      </c>
      <c r="R56" s="95">
        <v>9</v>
      </c>
      <c r="S56" s="95">
        <f t="shared" si="4"/>
        <v>12</v>
      </c>
      <c r="T56" s="8">
        <v>198</v>
      </c>
      <c r="U56" s="8">
        <v>297</v>
      </c>
      <c r="V56" s="8">
        <v>86</v>
      </c>
      <c r="W56" s="8">
        <v>172</v>
      </c>
      <c r="X56" s="8">
        <v>306</v>
      </c>
      <c r="Y56" s="8">
        <v>428</v>
      </c>
      <c r="Z56" s="100">
        <v>660.13</v>
      </c>
      <c r="AA56" s="100">
        <v>924.18</v>
      </c>
      <c r="AB56">
        <f t="shared" si="5"/>
        <v>1164.13</v>
      </c>
    </row>
    <row r="57" spans="1:28">
      <c r="A57" s="2">
        <v>55</v>
      </c>
      <c r="B57" s="2">
        <v>754</v>
      </c>
      <c r="C57" s="2" t="s">
        <v>193</v>
      </c>
      <c r="D57" s="2" t="s">
        <v>139</v>
      </c>
      <c r="E57" s="2" t="s">
        <v>188</v>
      </c>
      <c r="F57" s="8">
        <v>12</v>
      </c>
      <c r="G57" s="8">
        <v>15</v>
      </c>
      <c r="H57" s="8">
        <v>9</v>
      </c>
      <c r="I57" s="95">
        <v>9</v>
      </c>
      <c r="J57" s="95">
        <v>20</v>
      </c>
      <c r="K57" s="95">
        <v>20</v>
      </c>
      <c r="L57" s="95">
        <v>1</v>
      </c>
      <c r="M57" s="95">
        <v>1</v>
      </c>
      <c r="N57" s="95">
        <f t="shared" si="3"/>
        <v>30</v>
      </c>
      <c r="O57" s="95">
        <v>1</v>
      </c>
      <c r="P57" s="95">
        <v>2</v>
      </c>
      <c r="Q57" s="95">
        <v>1</v>
      </c>
      <c r="R57" s="95">
        <v>3</v>
      </c>
      <c r="S57" s="95">
        <f t="shared" si="4"/>
        <v>2</v>
      </c>
      <c r="T57" s="8">
        <v>660</v>
      </c>
      <c r="U57" s="8">
        <v>924</v>
      </c>
      <c r="V57" s="8">
        <v>84.5</v>
      </c>
      <c r="W57" s="8">
        <v>169</v>
      </c>
      <c r="X57" s="8">
        <v>28.25</v>
      </c>
      <c r="Y57" s="8">
        <v>57</v>
      </c>
      <c r="Z57" s="100">
        <v>380</v>
      </c>
      <c r="AA57" s="100">
        <v>532</v>
      </c>
      <c r="AB57">
        <f t="shared" si="5"/>
        <v>1068.25</v>
      </c>
    </row>
    <row r="58" spans="1:28">
      <c r="A58" s="2">
        <v>56</v>
      </c>
      <c r="B58" s="2">
        <v>733</v>
      </c>
      <c r="C58" s="2" t="s">
        <v>142</v>
      </c>
      <c r="D58" s="2" t="s">
        <v>139</v>
      </c>
      <c r="E58" s="2" t="s">
        <v>127</v>
      </c>
      <c r="F58" s="8">
        <v>6</v>
      </c>
      <c r="G58" s="8">
        <v>9</v>
      </c>
      <c r="H58" s="8">
        <v>7</v>
      </c>
      <c r="I58" s="95">
        <v>7</v>
      </c>
      <c r="J58" s="95">
        <v>21</v>
      </c>
      <c r="K58" s="95">
        <v>22</v>
      </c>
      <c r="L58" s="95">
        <v>1</v>
      </c>
      <c r="M58" s="95">
        <v>1</v>
      </c>
      <c r="N58" s="95">
        <f t="shared" si="3"/>
        <v>29</v>
      </c>
      <c r="O58" s="95">
        <v>1</v>
      </c>
      <c r="P58" s="95">
        <v>2</v>
      </c>
      <c r="Q58" s="95">
        <v>2</v>
      </c>
      <c r="R58" s="95">
        <v>4</v>
      </c>
      <c r="S58" s="95">
        <f t="shared" si="4"/>
        <v>3</v>
      </c>
      <c r="T58" s="8">
        <v>100</v>
      </c>
      <c r="U58" s="8">
        <v>150</v>
      </c>
      <c r="V58" s="8">
        <v>84.5</v>
      </c>
      <c r="W58" s="8">
        <v>169</v>
      </c>
      <c r="X58" s="8">
        <v>68.5</v>
      </c>
      <c r="Y58" s="8">
        <v>103</v>
      </c>
      <c r="Z58" s="100">
        <v>1101</v>
      </c>
      <c r="AA58" s="100">
        <v>1376.25</v>
      </c>
      <c r="AB58">
        <f t="shared" si="5"/>
        <v>1269.5</v>
      </c>
    </row>
    <row r="59" spans="1:28">
      <c r="A59" s="2">
        <v>57</v>
      </c>
      <c r="B59" s="2">
        <v>704</v>
      </c>
      <c r="C59" s="2" t="s">
        <v>194</v>
      </c>
      <c r="D59" s="2" t="s">
        <v>107</v>
      </c>
      <c r="E59" s="2" t="s">
        <v>188</v>
      </c>
      <c r="F59" s="8">
        <v>17</v>
      </c>
      <c r="G59" s="8">
        <v>22</v>
      </c>
      <c r="H59" s="8">
        <v>20</v>
      </c>
      <c r="I59" s="95">
        <v>23</v>
      </c>
      <c r="J59" s="95">
        <v>31</v>
      </c>
      <c r="K59" s="95">
        <v>35</v>
      </c>
      <c r="L59" s="95">
        <v>2</v>
      </c>
      <c r="M59" s="95">
        <v>3</v>
      </c>
      <c r="N59" s="95">
        <f t="shared" si="3"/>
        <v>53</v>
      </c>
      <c r="O59" s="95">
        <v>3</v>
      </c>
      <c r="P59" s="95">
        <v>4</v>
      </c>
      <c r="Q59" s="95">
        <v>1</v>
      </c>
      <c r="R59" s="95">
        <v>3</v>
      </c>
      <c r="S59" s="95">
        <f t="shared" si="4"/>
        <v>4</v>
      </c>
      <c r="T59" s="8">
        <v>1386</v>
      </c>
      <c r="U59" s="8">
        <v>1801.8</v>
      </c>
      <c r="V59" s="8">
        <v>360.01</v>
      </c>
      <c r="W59" s="8">
        <v>540</v>
      </c>
      <c r="X59" s="8">
        <v>1142.41</v>
      </c>
      <c r="Y59" s="8">
        <v>1257</v>
      </c>
      <c r="Z59" s="100">
        <v>1140</v>
      </c>
      <c r="AA59" s="100">
        <v>1425</v>
      </c>
      <c r="AB59">
        <f t="shared" si="5"/>
        <v>3668.41</v>
      </c>
    </row>
    <row r="60" spans="1:28">
      <c r="A60" s="2">
        <v>58</v>
      </c>
      <c r="B60" s="2">
        <v>371</v>
      </c>
      <c r="C60" s="2" t="s">
        <v>177</v>
      </c>
      <c r="D60" s="2" t="s">
        <v>139</v>
      </c>
      <c r="E60" s="2" t="s">
        <v>169</v>
      </c>
      <c r="F60" s="8">
        <v>6</v>
      </c>
      <c r="G60" s="8">
        <v>9</v>
      </c>
      <c r="H60" s="8">
        <v>11</v>
      </c>
      <c r="I60" s="95">
        <v>12</v>
      </c>
      <c r="J60" s="95">
        <v>24</v>
      </c>
      <c r="K60" s="95">
        <v>26</v>
      </c>
      <c r="L60" s="95">
        <v>1</v>
      </c>
      <c r="M60" s="95">
        <v>1</v>
      </c>
      <c r="N60" s="95">
        <f t="shared" si="3"/>
        <v>36</v>
      </c>
      <c r="O60" s="95">
        <v>1</v>
      </c>
      <c r="P60" s="95">
        <v>2</v>
      </c>
      <c r="Q60" s="95">
        <v>4</v>
      </c>
      <c r="R60" s="95">
        <v>6</v>
      </c>
      <c r="S60" s="95">
        <f t="shared" si="4"/>
        <v>5</v>
      </c>
      <c r="T60" s="8">
        <v>100</v>
      </c>
      <c r="U60" s="8">
        <v>150</v>
      </c>
      <c r="V60" s="8">
        <v>84.5</v>
      </c>
      <c r="W60" s="8">
        <v>169</v>
      </c>
      <c r="X60" s="8">
        <v>488.5</v>
      </c>
      <c r="Y60" s="8">
        <v>684</v>
      </c>
      <c r="Z60" s="100">
        <v>1235</v>
      </c>
      <c r="AA60" s="100">
        <v>1543.75</v>
      </c>
      <c r="AB60">
        <f t="shared" si="5"/>
        <v>1823.5</v>
      </c>
    </row>
    <row r="61" spans="1:28">
      <c r="A61" s="2">
        <v>59</v>
      </c>
      <c r="B61" s="2">
        <v>740</v>
      </c>
      <c r="C61" s="2" t="s">
        <v>143</v>
      </c>
      <c r="D61" s="2" t="s">
        <v>113</v>
      </c>
      <c r="E61" s="2" t="s">
        <v>127</v>
      </c>
      <c r="F61" s="8">
        <v>6</v>
      </c>
      <c r="G61" s="8">
        <v>9</v>
      </c>
      <c r="H61" s="8">
        <v>31</v>
      </c>
      <c r="I61" s="95">
        <v>35</v>
      </c>
      <c r="J61" s="95">
        <v>31</v>
      </c>
      <c r="K61" s="95">
        <v>35</v>
      </c>
      <c r="L61" s="95">
        <v>4</v>
      </c>
      <c r="M61" s="95">
        <v>5</v>
      </c>
      <c r="N61" s="95">
        <f t="shared" si="3"/>
        <v>66</v>
      </c>
      <c r="O61" s="95">
        <v>1</v>
      </c>
      <c r="P61" s="95">
        <v>2</v>
      </c>
      <c r="Q61" s="95">
        <v>2</v>
      </c>
      <c r="R61" s="95">
        <v>4</v>
      </c>
      <c r="S61" s="95">
        <f t="shared" si="4"/>
        <v>3</v>
      </c>
      <c r="T61" s="8">
        <v>198</v>
      </c>
      <c r="U61" s="8">
        <v>297</v>
      </c>
      <c r="V61" s="8">
        <v>1338.04</v>
      </c>
      <c r="W61" s="8">
        <v>1538.7</v>
      </c>
      <c r="X61" s="8">
        <v>756.5</v>
      </c>
      <c r="Y61" s="91">
        <v>946</v>
      </c>
      <c r="Z61" s="100">
        <v>4103</v>
      </c>
      <c r="AA61" s="100">
        <v>5128.75</v>
      </c>
      <c r="AB61">
        <f t="shared" si="5"/>
        <v>5057.5</v>
      </c>
    </row>
    <row r="62" spans="1:28">
      <c r="A62" s="2">
        <v>60</v>
      </c>
      <c r="B62" s="2">
        <v>539</v>
      </c>
      <c r="C62" s="2" t="s">
        <v>178</v>
      </c>
      <c r="D62" s="2" t="s">
        <v>139</v>
      </c>
      <c r="E62" s="2" t="s">
        <v>169</v>
      </c>
      <c r="F62" s="8">
        <v>6</v>
      </c>
      <c r="G62" s="8">
        <v>9</v>
      </c>
      <c r="H62" s="8">
        <v>10</v>
      </c>
      <c r="I62" s="95">
        <v>10</v>
      </c>
      <c r="J62" s="95">
        <v>18</v>
      </c>
      <c r="K62" s="95">
        <v>18</v>
      </c>
      <c r="L62" s="95">
        <v>1</v>
      </c>
      <c r="M62" s="95">
        <v>1</v>
      </c>
      <c r="N62" s="95">
        <f t="shared" si="3"/>
        <v>29</v>
      </c>
      <c r="O62" s="95">
        <v>1</v>
      </c>
      <c r="P62" s="95">
        <v>2</v>
      </c>
      <c r="Q62" s="95">
        <v>4</v>
      </c>
      <c r="R62" s="95">
        <v>6</v>
      </c>
      <c r="S62" s="95">
        <f t="shared" si="4"/>
        <v>5</v>
      </c>
      <c r="T62" s="8">
        <v>264</v>
      </c>
      <c r="U62" s="8">
        <v>396</v>
      </c>
      <c r="V62" s="8">
        <v>84.5</v>
      </c>
      <c r="W62" s="8">
        <v>169</v>
      </c>
      <c r="X62" s="8">
        <v>554</v>
      </c>
      <c r="Y62" s="91">
        <v>693</v>
      </c>
      <c r="Z62" s="100">
        <v>849.72</v>
      </c>
      <c r="AA62" s="100">
        <v>1189.61</v>
      </c>
      <c r="AB62">
        <f t="shared" si="5"/>
        <v>1667.72</v>
      </c>
    </row>
    <row r="63" spans="1:28">
      <c r="A63" s="2">
        <v>61</v>
      </c>
      <c r="B63" s="2">
        <v>339</v>
      </c>
      <c r="C63" s="2" t="s">
        <v>111</v>
      </c>
      <c r="D63" s="2" t="s">
        <v>109</v>
      </c>
      <c r="E63" s="2" t="s">
        <v>93</v>
      </c>
      <c r="F63" s="8">
        <v>17</v>
      </c>
      <c r="G63" s="8">
        <v>22</v>
      </c>
      <c r="H63" s="8">
        <v>12</v>
      </c>
      <c r="I63" s="95">
        <v>13</v>
      </c>
      <c r="J63" s="95">
        <v>29</v>
      </c>
      <c r="K63" s="95">
        <v>32</v>
      </c>
      <c r="L63" s="95">
        <v>3</v>
      </c>
      <c r="M63" s="95">
        <v>4</v>
      </c>
      <c r="N63" s="95">
        <f t="shared" si="3"/>
        <v>44</v>
      </c>
      <c r="O63" s="95">
        <v>1</v>
      </c>
      <c r="P63" s="95">
        <v>2</v>
      </c>
      <c r="Q63" s="95">
        <v>7</v>
      </c>
      <c r="R63" s="95">
        <v>11</v>
      </c>
      <c r="S63" s="95">
        <f t="shared" si="4"/>
        <v>8</v>
      </c>
      <c r="T63" s="91">
        <v>150</v>
      </c>
      <c r="U63" s="8">
        <v>225</v>
      </c>
      <c r="V63" s="8">
        <v>446.01</v>
      </c>
      <c r="W63" s="8">
        <v>669</v>
      </c>
      <c r="X63" s="8">
        <v>1311.99</v>
      </c>
      <c r="Y63" s="8">
        <v>1443</v>
      </c>
      <c r="Z63" s="100">
        <v>2574</v>
      </c>
      <c r="AA63" s="100">
        <v>3217.5</v>
      </c>
      <c r="AB63">
        <f t="shared" si="5"/>
        <v>4035.99</v>
      </c>
    </row>
    <row r="64" spans="1:28">
      <c r="A64" s="2">
        <v>62</v>
      </c>
      <c r="B64" s="2">
        <v>572</v>
      </c>
      <c r="C64" s="2" t="s">
        <v>161</v>
      </c>
      <c r="D64" s="2" t="s">
        <v>104</v>
      </c>
      <c r="E64" s="2" t="s">
        <v>149</v>
      </c>
      <c r="F64" s="8">
        <v>17</v>
      </c>
      <c r="G64" s="8">
        <v>23</v>
      </c>
      <c r="H64" s="8">
        <v>24</v>
      </c>
      <c r="I64" s="95">
        <v>28</v>
      </c>
      <c r="J64" s="95">
        <v>48</v>
      </c>
      <c r="K64" s="95">
        <v>55</v>
      </c>
      <c r="L64" s="95">
        <v>2</v>
      </c>
      <c r="M64" s="95">
        <v>3</v>
      </c>
      <c r="N64" s="95">
        <f t="shared" si="3"/>
        <v>74</v>
      </c>
      <c r="O64" s="95">
        <v>1</v>
      </c>
      <c r="P64" s="95">
        <v>2</v>
      </c>
      <c r="Q64" s="95">
        <v>11</v>
      </c>
      <c r="R64" s="95">
        <v>17</v>
      </c>
      <c r="S64" s="95">
        <f t="shared" si="4"/>
        <v>12</v>
      </c>
      <c r="T64" s="8">
        <v>2100.96</v>
      </c>
      <c r="U64" s="8">
        <v>2521.15</v>
      </c>
      <c r="V64" s="8">
        <v>540.03</v>
      </c>
      <c r="W64" s="8">
        <v>648</v>
      </c>
      <c r="X64" s="8">
        <v>541.72</v>
      </c>
      <c r="Y64" s="91">
        <v>677</v>
      </c>
      <c r="Z64" s="100">
        <v>1277.47</v>
      </c>
      <c r="AA64" s="100">
        <v>1596.84</v>
      </c>
      <c r="AB64">
        <f t="shared" si="5"/>
        <v>3920.15</v>
      </c>
    </row>
    <row r="65" spans="1:28">
      <c r="A65" s="2">
        <v>63</v>
      </c>
      <c r="B65" s="2">
        <v>720</v>
      </c>
      <c r="C65" s="2" t="s">
        <v>179</v>
      </c>
      <c r="D65" s="2" t="s">
        <v>113</v>
      </c>
      <c r="E65" s="2" t="s">
        <v>169</v>
      </c>
      <c r="F65" s="8">
        <v>6</v>
      </c>
      <c r="G65" s="8">
        <v>9</v>
      </c>
      <c r="H65" s="8">
        <v>20</v>
      </c>
      <c r="I65" s="95">
        <v>23</v>
      </c>
      <c r="J65" s="95">
        <v>8</v>
      </c>
      <c r="K65" s="95">
        <v>5</v>
      </c>
      <c r="L65" s="95">
        <v>1</v>
      </c>
      <c r="M65" s="95">
        <v>1</v>
      </c>
      <c r="N65" s="95">
        <f t="shared" si="3"/>
        <v>29</v>
      </c>
      <c r="O65" s="95">
        <v>1</v>
      </c>
      <c r="P65" s="95">
        <v>2</v>
      </c>
      <c r="Q65" s="95">
        <v>1</v>
      </c>
      <c r="R65" s="95">
        <v>3</v>
      </c>
      <c r="S65" s="95">
        <f t="shared" si="4"/>
        <v>2</v>
      </c>
      <c r="T65" s="8">
        <v>284</v>
      </c>
      <c r="U65" s="8">
        <v>426</v>
      </c>
      <c r="V65" s="8">
        <v>84.5</v>
      </c>
      <c r="W65" s="8">
        <v>169</v>
      </c>
      <c r="X65" s="8">
        <v>511.78</v>
      </c>
      <c r="Y65" s="91">
        <v>640</v>
      </c>
      <c r="Z65" s="100">
        <v>1833</v>
      </c>
      <c r="AA65" s="100">
        <v>2291.25</v>
      </c>
      <c r="AB65">
        <f t="shared" si="5"/>
        <v>2628.78</v>
      </c>
    </row>
    <row r="66" spans="1:28">
      <c r="A66" s="2">
        <v>64</v>
      </c>
      <c r="B66" s="2">
        <v>594</v>
      </c>
      <c r="C66" s="2" t="s">
        <v>180</v>
      </c>
      <c r="D66" s="2" t="s">
        <v>113</v>
      </c>
      <c r="E66" s="2" t="s">
        <v>169</v>
      </c>
      <c r="F66" s="8">
        <v>6</v>
      </c>
      <c r="G66" s="8">
        <v>9</v>
      </c>
      <c r="H66" s="8">
        <v>18</v>
      </c>
      <c r="I66" s="95">
        <v>20</v>
      </c>
      <c r="J66" s="95">
        <v>18</v>
      </c>
      <c r="K66" s="95">
        <v>18</v>
      </c>
      <c r="L66" s="95">
        <v>1</v>
      </c>
      <c r="M66" s="95">
        <v>1</v>
      </c>
      <c r="N66" s="95">
        <f t="shared" si="3"/>
        <v>37</v>
      </c>
      <c r="O66" s="95">
        <v>1</v>
      </c>
      <c r="P66" s="95">
        <v>2</v>
      </c>
      <c r="Q66" s="95">
        <v>3</v>
      </c>
      <c r="R66" s="95">
        <v>5</v>
      </c>
      <c r="S66" s="95">
        <f t="shared" si="4"/>
        <v>4</v>
      </c>
      <c r="T66" s="8">
        <v>264</v>
      </c>
      <c r="U66" s="8">
        <v>396</v>
      </c>
      <c r="V66" s="8">
        <v>258.01</v>
      </c>
      <c r="W66" s="8">
        <v>387</v>
      </c>
      <c r="X66" s="8">
        <v>260.5</v>
      </c>
      <c r="Y66" s="8">
        <v>365</v>
      </c>
      <c r="Z66" s="100">
        <v>3040</v>
      </c>
      <c r="AA66" s="100">
        <v>3800</v>
      </c>
      <c r="AB66">
        <f t="shared" si="5"/>
        <v>3564.5</v>
      </c>
    </row>
    <row r="67" spans="1:28">
      <c r="A67" s="2">
        <v>65</v>
      </c>
      <c r="B67" s="2">
        <v>56</v>
      </c>
      <c r="C67" s="2" t="s">
        <v>195</v>
      </c>
      <c r="D67" s="2" t="s">
        <v>139</v>
      </c>
      <c r="E67" s="2" t="s">
        <v>188</v>
      </c>
      <c r="F67" s="8">
        <v>6</v>
      </c>
      <c r="G67" s="8">
        <v>9</v>
      </c>
      <c r="H67" s="8">
        <v>36</v>
      </c>
      <c r="I67" s="95">
        <v>41</v>
      </c>
      <c r="J67" s="95">
        <v>29</v>
      </c>
      <c r="K67" s="95">
        <v>32</v>
      </c>
      <c r="L67" s="95">
        <v>1</v>
      </c>
      <c r="M67" s="95">
        <v>1</v>
      </c>
      <c r="N67" s="95">
        <f t="shared" si="3"/>
        <v>66</v>
      </c>
      <c r="O67" s="95">
        <v>1</v>
      </c>
      <c r="P67" s="95">
        <v>2</v>
      </c>
      <c r="Q67" s="95">
        <v>10</v>
      </c>
      <c r="R67" s="95">
        <v>15</v>
      </c>
      <c r="S67" s="95">
        <f t="shared" si="4"/>
        <v>11</v>
      </c>
      <c r="T67" s="8">
        <v>66</v>
      </c>
      <c r="U67" s="8">
        <v>99</v>
      </c>
      <c r="V67" s="8">
        <v>148.75</v>
      </c>
      <c r="W67" s="8">
        <v>223.1</v>
      </c>
      <c r="X67" s="8">
        <v>204</v>
      </c>
      <c r="Y67" s="8">
        <v>286</v>
      </c>
      <c r="Z67" s="100">
        <v>5719.01</v>
      </c>
      <c r="AA67" s="100">
        <v>6290.91</v>
      </c>
      <c r="AB67">
        <f t="shared" si="5"/>
        <v>5989.01</v>
      </c>
    </row>
    <row r="68" spans="1:28">
      <c r="A68" s="2">
        <v>66</v>
      </c>
      <c r="B68" s="2">
        <v>351</v>
      </c>
      <c r="C68" s="2" t="s">
        <v>196</v>
      </c>
      <c r="D68" s="2" t="s">
        <v>104</v>
      </c>
      <c r="E68" s="2" t="s">
        <v>188</v>
      </c>
      <c r="F68" s="8">
        <v>17</v>
      </c>
      <c r="G68" s="8">
        <v>23</v>
      </c>
      <c r="H68" s="8">
        <v>21</v>
      </c>
      <c r="I68" s="95">
        <v>24</v>
      </c>
      <c r="J68" s="95">
        <v>23</v>
      </c>
      <c r="K68" s="95">
        <v>24</v>
      </c>
      <c r="L68" s="95">
        <v>7</v>
      </c>
      <c r="M68" s="95">
        <v>9</v>
      </c>
      <c r="N68" s="95">
        <f t="shared" ref="N68:N97" si="6">H68+J68+L68</f>
        <v>51</v>
      </c>
      <c r="O68" s="95">
        <v>1</v>
      </c>
      <c r="P68" s="95">
        <v>2</v>
      </c>
      <c r="Q68" s="95">
        <v>4</v>
      </c>
      <c r="R68" s="95">
        <v>6</v>
      </c>
      <c r="S68" s="95">
        <f t="shared" ref="S68:S97" si="7">O68+Q68</f>
        <v>5</v>
      </c>
      <c r="T68" s="91">
        <v>150</v>
      </c>
      <c r="U68" s="8">
        <v>225</v>
      </c>
      <c r="V68" s="8">
        <v>1800.05</v>
      </c>
      <c r="W68" s="8">
        <v>1980.1</v>
      </c>
      <c r="X68" s="8">
        <v>274</v>
      </c>
      <c r="Y68" s="8">
        <v>384</v>
      </c>
      <c r="Z68" s="100">
        <v>374</v>
      </c>
      <c r="AA68" s="100">
        <v>523.6</v>
      </c>
      <c r="AB68">
        <f t="shared" ref="AB68:AB97" si="8">Z68+X68+T68</f>
        <v>798</v>
      </c>
    </row>
    <row r="69" spans="1:28">
      <c r="A69" s="2">
        <v>67</v>
      </c>
      <c r="B69" s="2">
        <v>549</v>
      </c>
      <c r="C69" s="2" t="s">
        <v>181</v>
      </c>
      <c r="D69" s="2" t="s">
        <v>139</v>
      </c>
      <c r="E69" s="2" t="s">
        <v>169</v>
      </c>
      <c r="F69" s="8">
        <v>6</v>
      </c>
      <c r="G69" s="8">
        <v>9</v>
      </c>
      <c r="H69" s="8">
        <v>23</v>
      </c>
      <c r="I69" s="95">
        <v>27</v>
      </c>
      <c r="J69" s="95">
        <v>19</v>
      </c>
      <c r="K69" s="95">
        <v>19</v>
      </c>
      <c r="L69" s="95">
        <v>1</v>
      </c>
      <c r="M69" s="95">
        <v>1</v>
      </c>
      <c r="N69" s="95">
        <f t="shared" si="6"/>
        <v>43</v>
      </c>
      <c r="O69" s="95">
        <v>1</v>
      </c>
      <c r="P69" s="95">
        <v>2</v>
      </c>
      <c r="Q69" s="95">
        <v>5</v>
      </c>
      <c r="R69" s="95">
        <v>8</v>
      </c>
      <c r="S69" s="95">
        <f t="shared" si="7"/>
        <v>6</v>
      </c>
      <c r="T69" s="8">
        <v>100</v>
      </c>
      <c r="U69" s="8">
        <v>150</v>
      </c>
      <c r="V69" s="8">
        <v>84.5</v>
      </c>
      <c r="W69" s="8">
        <v>169</v>
      </c>
      <c r="X69" s="8">
        <v>431</v>
      </c>
      <c r="Y69" s="8">
        <v>603</v>
      </c>
      <c r="Z69" s="100">
        <v>2660</v>
      </c>
      <c r="AA69" s="100">
        <v>3325</v>
      </c>
      <c r="AB69">
        <f t="shared" si="8"/>
        <v>3191</v>
      </c>
    </row>
    <row r="70" spans="1:28">
      <c r="A70" s="2">
        <v>68</v>
      </c>
      <c r="B70" s="2">
        <v>545</v>
      </c>
      <c r="C70" s="2" t="s">
        <v>144</v>
      </c>
      <c r="D70" s="2" t="s">
        <v>113</v>
      </c>
      <c r="E70" s="2" t="s">
        <v>127</v>
      </c>
      <c r="F70" s="8">
        <v>6</v>
      </c>
      <c r="G70" s="8">
        <v>9</v>
      </c>
      <c r="H70" s="8">
        <v>41</v>
      </c>
      <c r="I70" s="95">
        <v>47</v>
      </c>
      <c r="J70" s="95">
        <v>25</v>
      </c>
      <c r="K70" s="95">
        <v>27</v>
      </c>
      <c r="L70" s="95">
        <v>1</v>
      </c>
      <c r="M70" s="95">
        <v>1</v>
      </c>
      <c r="N70" s="95">
        <f t="shared" si="6"/>
        <v>67</v>
      </c>
      <c r="O70" s="95">
        <v>2</v>
      </c>
      <c r="P70" s="95">
        <v>3</v>
      </c>
      <c r="Q70" s="95">
        <v>3</v>
      </c>
      <c r="R70" s="95">
        <v>5</v>
      </c>
      <c r="S70" s="95">
        <f t="shared" si="7"/>
        <v>5</v>
      </c>
      <c r="T70" s="8">
        <v>100</v>
      </c>
      <c r="U70" s="8">
        <v>150</v>
      </c>
      <c r="V70" s="8">
        <v>84.5</v>
      </c>
      <c r="W70" s="8">
        <v>169</v>
      </c>
      <c r="X70" s="8">
        <v>140</v>
      </c>
      <c r="Y70" s="8">
        <v>196</v>
      </c>
      <c r="Z70" s="100">
        <v>3828.89</v>
      </c>
      <c r="AA70" s="100">
        <v>4786.11</v>
      </c>
      <c r="AB70">
        <f t="shared" si="8"/>
        <v>4068.89</v>
      </c>
    </row>
    <row r="71" spans="1:28">
      <c r="A71" s="2">
        <v>69</v>
      </c>
      <c r="B71" s="2">
        <v>706</v>
      </c>
      <c r="C71" s="2" t="s">
        <v>197</v>
      </c>
      <c r="D71" s="2" t="s">
        <v>113</v>
      </c>
      <c r="E71" s="2" t="s">
        <v>188</v>
      </c>
      <c r="F71" s="8">
        <v>6</v>
      </c>
      <c r="G71" s="8">
        <v>9</v>
      </c>
      <c r="H71" s="8">
        <v>9</v>
      </c>
      <c r="I71" s="95">
        <v>9</v>
      </c>
      <c r="J71" s="95">
        <v>29</v>
      </c>
      <c r="K71" s="95">
        <v>32</v>
      </c>
      <c r="L71" s="95">
        <v>1</v>
      </c>
      <c r="M71" s="95">
        <v>1</v>
      </c>
      <c r="N71" s="95">
        <f t="shared" si="6"/>
        <v>39</v>
      </c>
      <c r="O71" s="95">
        <v>2</v>
      </c>
      <c r="P71" s="95">
        <v>3</v>
      </c>
      <c r="Q71" s="95">
        <v>9</v>
      </c>
      <c r="R71" s="95">
        <v>14</v>
      </c>
      <c r="S71" s="95">
        <f t="shared" si="7"/>
        <v>11</v>
      </c>
      <c r="T71" s="8">
        <v>198</v>
      </c>
      <c r="U71" s="8">
        <v>297</v>
      </c>
      <c r="V71" s="8">
        <v>84.5</v>
      </c>
      <c r="W71" s="8">
        <v>169</v>
      </c>
      <c r="X71" s="8">
        <v>896.5</v>
      </c>
      <c r="Y71" s="91">
        <v>1121</v>
      </c>
      <c r="Z71" s="100">
        <v>950</v>
      </c>
      <c r="AA71" s="100">
        <v>1330</v>
      </c>
      <c r="AB71">
        <f t="shared" si="8"/>
        <v>2044.5</v>
      </c>
    </row>
    <row r="72" spans="1:28">
      <c r="A72" s="2">
        <v>70</v>
      </c>
      <c r="B72" s="2">
        <v>716</v>
      </c>
      <c r="C72" s="2" t="s">
        <v>182</v>
      </c>
      <c r="D72" s="2" t="s">
        <v>139</v>
      </c>
      <c r="E72" s="2" t="s">
        <v>169</v>
      </c>
      <c r="F72" s="8">
        <v>6</v>
      </c>
      <c r="G72" s="8">
        <v>9</v>
      </c>
      <c r="H72" s="8">
        <v>11</v>
      </c>
      <c r="I72" s="95">
        <v>12</v>
      </c>
      <c r="J72" s="95">
        <v>23</v>
      </c>
      <c r="K72" s="95">
        <v>24</v>
      </c>
      <c r="L72" s="95">
        <v>1</v>
      </c>
      <c r="M72" s="95">
        <v>1</v>
      </c>
      <c r="N72" s="95">
        <f t="shared" si="6"/>
        <v>35</v>
      </c>
      <c r="O72" s="95">
        <v>2</v>
      </c>
      <c r="P72" s="95">
        <v>3</v>
      </c>
      <c r="Q72" s="95">
        <v>3</v>
      </c>
      <c r="R72" s="95">
        <v>5</v>
      </c>
      <c r="S72" s="95">
        <f t="shared" si="7"/>
        <v>5</v>
      </c>
      <c r="T72" s="8">
        <v>528.01</v>
      </c>
      <c r="U72" s="8">
        <v>739.21</v>
      </c>
      <c r="V72" s="8">
        <v>84.5</v>
      </c>
      <c r="W72" s="8">
        <v>169</v>
      </c>
      <c r="X72" s="8">
        <v>239</v>
      </c>
      <c r="Y72" s="8">
        <v>335</v>
      </c>
      <c r="Z72" s="100">
        <v>1850</v>
      </c>
      <c r="AA72" s="100">
        <v>2312.5</v>
      </c>
      <c r="AB72">
        <f t="shared" si="8"/>
        <v>2617.01</v>
      </c>
    </row>
    <row r="73" spans="1:28">
      <c r="A73" s="90">
        <v>71</v>
      </c>
      <c r="B73" s="90">
        <v>752</v>
      </c>
      <c r="C73" s="90" t="s">
        <v>112</v>
      </c>
      <c r="D73" s="90" t="s">
        <v>113</v>
      </c>
      <c r="E73" s="90" t="s">
        <v>93</v>
      </c>
      <c r="F73" s="91">
        <v>6</v>
      </c>
      <c r="G73" s="8">
        <v>9</v>
      </c>
      <c r="H73" s="8">
        <v>9</v>
      </c>
      <c r="I73" s="95">
        <v>9</v>
      </c>
      <c r="J73" s="95">
        <v>16</v>
      </c>
      <c r="K73" s="95">
        <v>15</v>
      </c>
      <c r="L73" s="95">
        <v>1</v>
      </c>
      <c r="M73" s="95">
        <v>1</v>
      </c>
      <c r="N73" s="95">
        <f t="shared" si="6"/>
        <v>26</v>
      </c>
      <c r="O73" s="95">
        <v>1</v>
      </c>
      <c r="P73" s="95">
        <v>2</v>
      </c>
      <c r="Q73" s="95">
        <v>4</v>
      </c>
      <c r="R73" s="95">
        <v>6</v>
      </c>
      <c r="S73" s="95">
        <f t="shared" si="7"/>
        <v>5</v>
      </c>
      <c r="T73" s="8">
        <v>53.35</v>
      </c>
      <c r="U73" s="8">
        <v>80.03</v>
      </c>
      <c r="V73" s="8">
        <v>84.5</v>
      </c>
      <c r="W73" s="8">
        <v>169</v>
      </c>
      <c r="X73" s="8">
        <v>167.5</v>
      </c>
      <c r="Y73" s="8">
        <v>235</v>
      </c>
      <c r="Z73" s="100">
        <v>954</v>
      </c>
      <c r="AA73" s="100">
        <v>1335.6</v>
      </c>
      <c r="AB73">
        <f t="shared" si="8"/>
        <v>1174.85</v>
      </c>
    </row>
    <row r="74" spans="1:28">
      <c r="A74" s="2">
        <v>72</v>
      </c>
      <c r="B74" s="2">
        <v>741</v>
      </c>
      <c r="C74" s="2" t="s">
        <v>114</v>
      </c>
      <c r="D74" s="2" t="s">
        <v>113</v>
      </c>
      <c r="E74" s="2" t="s">
        <v>93</v>
      </c>
      <c r="F74" s="8">
        <v>6</v>
      </c>
      <c r="G74" s="8">
        <v>9</v>
      </c>
      <c r="H74" s="8">
        <v>21</v>
      </c>
      <c r="I74" s="95">
        <v>23</v>
      </c>
      <c r="J74" s="95">
        <v>27</v>
      </c>
      <c r="K74" s="95">
        <v>29</v>
      </c>
      <c r="L74" s="95">
        <v>1</v>
      </c>
      <c r="M74" s="95">
        <v>1</v>
      </c>
      <c r="N74" s="95">
        <f t="shared" si="6"/>
        <v>49</v>
      </c>
      <c r="O74" s="95">
        <v>2</v>
      </c>
      <c r="P74" s="95">
        <v>3</v>
      </c>
      <c r="Q74" s="95">
        <v>2</v>
      </c>
      <c r="R74" s="95">
        <v>4</v>
      </c>
      <c r="S74" s="95">
        <f t="shared" si="7"/>
        <v>4</v>
      </c>
      <c r="T74" s="8">
        <v>100</v>
      </c>
      <c r="U74" s="8">
        <v>150</v>
      </c>
      <c r="V74" s="8">
        <v>84.5</v>
      </c>
      <c r="W74" s="8">
        <v>169</v>
      </c>
      <c r="X74" s="8">
        <v>385</v>
      </c>
      <c r="Y74" s="8">
        <v>539</v>
      </c>
      <c r="Z74" s="100">
        <v>285</v>
      </c>
      <c r="AA74" s="100">
        <v>399</v>
      </c>
      <c r="AB74">
        <f t="shared" si="8"/>
        <v>770</v>
      </c>
    </row>
    <row r="75" spans="1:28">
      <c r="A75" s="2">
        <v>73</v>
      </c>
      <c r="B75" s="2">
        <v>710</v>
      </c>
      <c r="C75" s="2" t="s">
        <v>198</v>
      </c>
      <c r="D75" s="2" t="s">
        <v>113</v>
      </c>
      <c r="E75" s="2" t="s">
        <v>188</v>
      </c>
      <c r="F75" s="8">
        <v>6</v>
      </c>
      <c r="G75" s="8">
        <v>9</v>
      </c>
      <c r="H75" s="8">
        <v>14</v>
      </c>
      <c r="I75" s="95">
        <v>15</v>
      </c>
      <c r="J75" s="95">
        <v>44</v>
      </c>
      <c r="K75" s="95">
        <v>50</v>
      </c>
      <c r="L75" s="95">
        <v>1</v>
      </c>
      <c r="M75" s="95">
        <v>1</v>
      </c>
      <c r="N75" s="95">
        <f t="shared" si="6"/>
        <v>59</v>
      </c>
      <c r="O75" s="95">
        <v>1</v>
      </c>
      <c r="P75" s="95">
        <v>2</v>
      </c>
      <c r="Q75" s="95">
        <v>1</v>
      </c>
      <c r="R75" s="95">
        <v>3</v>
      </c>
      <c r="S75" s="95">
        <f t="shared" si="7"/>
        <v>2</v>
      </c>
      <c r="T75" s="8">
        <v>66</v>
      </c>
      <c r="U75" s="8">
        <v>99</v>
      </c>
      <c r="V75" s="8">
        <v>84.5</v>
      </c>
      <c r="W75" s="8">
        <v>169</v>
      </c>
      <c r="X75" s="8">
        <v>551</v>
      </c>
      <c r="Y75" s="91">
        <v>689</v>
      </c>
      <c r="Z75" s="100">
        <v>1460.34</v>
      </c>
      <c r="AA75" s="100">
        <v>1825.43</v>
      </c>
      <c r="AB75">
        <f t="shared" si="8"/>
        <v>2077.34</v>
      </c>
    </row>
    <row r="76" spans="1:28">
      <c r="A76" s="2">
        <v>74</v>
      </c>
      <c r="B76" s="2">
        <v>732</v>
      </c>
      <c r="C76" s="2" t="s">
        <v>183</v>
      </c>
      <c r="D76" s="2" t="s">
        <v>139</v>
      </c>
      <c r="E76" s="2" t="s">
        <v>169</v>
      </c>
      <c r="F76" s="8">
        <v>6</v>
      </c>
      <c r="G76" s="8">
        <v>9</v>
      </c>
      <c r="H76" s="8">
        <v>16</v>
      </c>
      <c r="I76" s="95">
        <v>18</v>
      </c>
      <c r="J76" s="95">
        <v>44</v>
      </c>
      <c r="K76" s="95">
        <v>50</v>
      </c>
      <c r="L76" s="95">
        <v>1</v>
      </c>
      <c r="M76" s="95">
        <v>1</v>
      </c>
      <c r="N76" s="95">
        <f t="shared" si="6"/>
        <v>61</v>
      </c>
      <c r="O76" s="95">
        <v>1</v>
      </c>
      <c r="P76" s="95">
        <v>2</v>
      </c>
      <c r="Q76" s="95">
        <v>1</v>
      </c>
      <c r="R76" s="95">
        <v>3</v>
      </c>
      <c r="S76" s="95">
        <f t="shared" si="7"/>
        <v>2</v>
      </c>
      <c r="T76" s="8">
        <v>558</v>
      </c>
      <c r="U76" s="8">
        <v>781.2</v>
      </c>
      <c r="V76" s="8">
        <v>952.02</v>
      </c>
      <c r="W76" s="8">
        <v>1142.4</v>
      </c>
      <c r="X76" s="8">
        <v>415.5</v>
      </c>
      <c r="Y76" s="8">
        <v>582</v>
      </c>
      <c r="Z76" s="100">
        <v>3236</v>
      </c>
      <c r="AA76" s="100">
        <v>4045</v>
      </c>
      <c r="AB76">
        <f t="shared" si="8"/>
        <v>4209.5</v>
      </c>
    </row>
    <row r="77" spans="1:28">
      <c r="A77" s="2">
        <v>75</v>
      </c>
      <c r="B77" s="2">
        <v>357</v>
      </c>
      <c r="C77" s="2" t="s">
        <v>115</v>
      </c>
      <c r="D77" s="2" t="s">
        <v>104</v>
      </c>
      <c r="E77" s="2" t="s">
        <v>93</v>
      </c>
      <c r="F77" s="8">
        <v>17</v>
      </c>
      <c r="G77" s="8">
        <v>23</v>
      </c>
      <c r="H77" s="8">
        <v>25</v>
      </c>
      <c r="I77" s="95">
        <v>29</v>
      </c>
      <c r="J77" s="95">
        <v>55</v>
      </c>
      <c r="K77" s="95">
        <v>63</v>
      </c>
      <c r="L77" s="95">
        <v>1</v>
      </c>
      <c r="M77" s="95">
        <v>1</v>
      </c>
      <c r="N77" s="95">
        <f t="shared" si="6"/>
        <v>81</v>
      </c>
      <c r="O77" s="95">
        <v>1</v>
      </c>
      <c r="P77" s="95">
        <v>2</v>
      </c>
      <c r="Q77" s="95">
        <v>17</v>
      </c>
      <c r="R77" s="95">
        <v>22</v>
      </c>
      <c r="S77" s="95">
        <f t="shared" si="7"/>
        <v>18</v>
      </c>
      <c r="T77" s="8">
        <v>432.3</v>
      </c>
      <c r="U77" s="8">
        <v>648.45</v>
      </c>
      <c r="V77" s="8">
        <v>84.5</v>
      </c>
      <c r="W77" s="8">
        <v>169</v>
      </c>
      <c r="X77" s="8">
        <v>703.7</v>
      </c>
      <c r="Y77" s="91">
        <v>880</v>
      </c>
      <c r="Z77" s="100">
        <v>1235</v>
      </c>
      <c r="AA77" s="100">
        <v>1543.75</v>
      </c>
      <c r="AB77">
        <f t="shared" si="8"/>
        <v>2371</v>
      </c>
    </row>
    <row r="78" spans="1:28">
      <c r="A78" s="2">
        <v>76</v>
      </c>
      <c r="B78" s="2">
        <v>570</v>
      </c>
      <c r="C78" s="2" t="s">
        <v>116</v>
      </c>
      <c r="D78" s="2" t="s">
        <v>107</v>
      </c>
      <c r="E78" s="2" t="s">
        <v>93</v>
      </c>
      <c r="F78" s="8">
        <v>6</v>
      </c>
      <c r="G78" s="8">
        <v>11</v>
      </c>
      <c r="H78" s="8">
        <v>15</v>
      </c>
      <c r="I78" s="95">
        <v>17</v>
      </c>
      <c r="J78" s="95">
        <v>45</v>
      </c>
      <c r="K78" s="95">
        <v>51</v>
      </c>
      <c r="L78" s="95">
        <v>2</v>
      </c>
      <c r="M78" s="95">
        <v>3</v>
      </c>
      <c r="N78" s="95">
        <f t="shared" si="6"/>
        <v>62</v>
      </c>
      <c r="O78" s="95">
        <v>1</v>
      </c>
      <c r="P78" s="95">
        <v>2</v>
      </c>
      <c r="Q78" s="95">
        <v>4</v>
      </c>
      <c r="R78" s="95">
        <v>6</v>
      </c>
      <c r="S78" s="95">
        <f t="shared" si="7"/>
        <v>5</v>
      </c>
      <c r="T78" s="91">
        <v>150</v>
      </c>
      <c r="U78" s="8">
        <v>225</v>
      </c>
      <c r="V78" s="8">
        <v>84.5</v>
      </c>
      <c r="W78" s="8">
        <v>169</v>
      </c>
      <c r="X78" s="8">
        <v>240.5</v>
      </c>
      <c r="Y78" s="8">
        <v>337</v>
      </c>
      <c r="Z78" s="100">
        <v>380</v>
      </c>
      <c r="AA78" s="100">
        <v>532</v>
      </c>
      <c r="AB78">
        <f t="shared" si="8"/>
        <v>770.5</v>
      </c>
    </row>
    <row r="79" spans="1:28">
      <c r="A79" s="2">
        <v>77</v>
      </c>
      <c r="B79" s="2">
        <v>738</v>
      </c>
      <c r="C79" s="2" t="s">
        <v>199</v>
      </c>
      <c r="D79" s="2" t="s">
        <v>139</v>
      </c>
      <c r="E79" s="2" t="s">
        <v>188</v>
      </c>
      <c r="F79" s="8">
        <v>6</v>
      </c>
      <c r="G79" s="8">
        <v>9</v>
      </c>
      <c r="H79" s="8">
        <v>28</v>
      </c>
      <c r="I79" s="95">
        <v>33</v>
      </c>
      <c r="J79" s="95">
        <v>48</v>
      </c>
      <c r="K79" s="95">
        <v>55</v>
      </c>
      <c r="L79" s="95">
        <v>1</v>
      </c>
      <c r="M79" s="95">
        <v>1</v>
      </c>
      <c r="N79" s="95">
        <f t="shared" si="6"/>
        <v>77</v>
      </c>
      <c r="O79" s="95">
        <v>1</v>
      </c>
      <c r="P79" s="95">
        <v>2</v>
      </c>
      <c r="Q79" s="95">
        <v>6</v>
      </c>
      <c r="R79" s="95">
        <v>9</v>
      </c>
      <c r="S79" s="95">
        <f t="shared" si="7"/>
        <v>7</v>
      </c>
      <c r="T79" s="8">
        <v>100</v>
      </c>
      <c r="U79" s="8">
        <v>150</v>
      </c>
      <c r="V79" s="8">
        <v>84.5</v>
      </c>
      <c r="W79" s="8">
        <v>169</v>
      </c>
      <c r="X79" s="8">
        <v>543.5</v>
      </c>
      <c r="Y79" s="91">
        <v>679</v>
      </c>
      <c r="Z79" s="100">
        <v>570</v>
      </c>
      <c r="AA79" s="100">
        <v>798</v>
      </c>
      <c r="AB79">
        <f t="shared" si="8"/>
        <v>1213.5</v>
      </c>
    </row>
    <row r="80" spans="1:28">
      <c r="A80" s="2">
        <v>78</v>
      </c>
      <c r="B80" s="2">
        <v>723</v>
      </c>
      <c r="C80" s="2" t="s">
        <v>162</v>
      </c>
      <c r="D80" s="2" t="s">
        <v>113</v>
      </c>
      <c r="E80" s="2" t="s">
        <v>149</v>
      </c>
      <c r="F80" s="8">
        <v>6</v>
      </c>
      <c r="G80" s="8">
        <v>9</v>
      </c>
      <c r="H80" s="8">
        <v>25</v>
      </c>
      <c r="I80" s="95">
        <v>29</v>
      </c>
      <c r="J80" s="95">
        <v>29</v>
      </c>
      <c r="K80" s="95">
        <v>32</v>
      </c>
      <c r="L80" s="95">
        <v>1</v>
      </c>
      <c r="M80" s="95">
        <v>1</v>
      </c>
      <c r="N80" s="95">
        <f t="shared" si="6"/>
        <v>55</v>
      </c>
      <c r="O80" s="95">
        <v>1</v>
      </c>
      <c r="P80" s="95">
        <v>2</v>
      </c>
      <c r="Q80" s="95">
        <v>2</v>
      </c>
      <c r="R80" s="95">
        <v>4</v>
      </c>
      <c r="S80" s="95">
        <f t="shared" si="7"/>
        <v>3</v>
      </c>
      <c r="T80" s="8">
        <v>132</v>
      </c>
      <c r="U80" s="8">
        <v>198</v>
      </c>
      <c r="V80" s="8">
        <v>84.5</v>
      </c>
      <c r="W80" s="8">
        <v>169</v>
      </c>
      <c r="X80" s="8">
        <v>1109.5</v>
      </c>
      <c r="Y80" s="8">
        <v>1220</v>
      </c>
      <c r="Z80" s="100">
        <v>882</v>
      </c>
      <c r="AA80" s="100">
        <v>1234.8</v>
      </c>
      <c r="AB80">
        <f t="shared" si="8"/>
        <v>2123.5</v>
      </c>
    </row>
    <row r="81" spans="1:28">
      <c r="A81" s="2">
        <v>79</v>
      </c>
      <c r="B81" s="2">
        <v>755</v>
      </c>
      <c r="C81" s="2" t="s">
        <v>200</v>
      </c>
      <c r="D81" s="2" t="s">
        <v>113</v>
      </c>
      <c r="E81" s="2" t="s">
        <v>188</v>
      </c>
      <c r="F81" s="8">
        <v>6</v>
      </c>
      <c r="G81" s="8">
        <v>9</v>
      </c>
      <c r="H81" s="8">
        <v>9</v>
      </c>
      <c r="I81" s="95">
        <v>9</v>
      </c>
      <c r="J81" s="95">
        <v>11</v>
      </c>
      <c r="K81" s="95">
        <v>9</v>
      </c>
      <c r="L81" s="95">
        <v>1</v>
      </c>
      <c r="M81" s="95">
        <v>1</v>
      </c>
      <c r="N81" s="95">
        <f t="shared" si="6"/>
        <v>21</v>
      </c>
      <c r="O81" s="95">
        <v>1</v>
      </c>
      <c r="P81" s="95">
        <v>2</v>
      </c>
      <c r="Q81" s="95">
        <v>1</v>
      </c>
      <c r="R81" s="95">
        <v>3</v>
      </c>
      <c r="S81" s="95">
        <f t="shared" si="7"/>
        <v>2</v>
      </c>
      <c r="T81" s="8">
        <v>132</v>
      </c>
      <c r="U81" s="8">
        <v>198</v>
      </c>
      <c r="V81" s="8">
        <v>84.5</v>
      </c>
      <c r="W81" s="8">
        <v>169</v>
      </c>
      <c r="X81" s="8">
        <v>385</v>
      </c>
      <c r="Y81" s="8">
        <v>539</v>
      </c>
      <c r="Z81" s="100">
        <v>160</v>
      </c>
      <c r="AA81" s="100">
        <v>224</v>
      </c>
      <c r="AB81">
        <f t="shared" si="8"/>
        <v>677</v>
      </c>
    </row>
    <row r="82" s="14" customFormat="1" spans="1:28">
      <c r="A82" s="90">
        <v>80</v>
      </c>
      <c r="B82" s="90">
        <v>753</v>
      </c>
      <c r="C82" s="90" t="s">
        <v>145</v>
      </c>
      <c r="D82" s="90" t="s">
        <v>113</v>
      </c>
      <c r="E82" s="90" t="s">
        <v>127</v>
      </c>
      <c r="F82" s="91">
        <v>6</v>
      </c>
      <c r="G82" s="91">
        <v>9</v>
      </c>
      <c r="H82" s="8">
        <v>9</v>
      </c>
      <c r="I82" s="95">
        <v>9</v>
      </c>
      <c r="J82" s="95">
        <v>11</v>
      </c>
      <c r="K82" s="95">
        <v>9</v>
      </c>
      <c r="L82" s="95">
        <v>1</v>
      </c>
      <c r="M82" s="95">
        <v>1</v>
      </c>
      <c r="N82" s="95">
        <f t="shared" si="6"/>
        <v>21</v>
      </c>
      <c r="O82" s="95">
        <v>1</v>
      </c>
      <c r="P82" s="95">
        <v>2</v>
      </c>
      <c r="Q82" s="95">
        <v>1</v>
      </c>
      <c r="R82" s="95">
        <v>3</v>
      </c>
      <c r="S82" s="95">
        <f t="shared" si="7"/>
        <v>2</v>
      </c>
      <c r="T82" s="8">
        <v>234.3</v>
      </c>
      <c r="U82" s="8">
        <v>351.45</v>
      </c>
      <c r="V82" s="8">
        <v>84.5</v>
      </c>
      <c r="W82" s="8">
        <v>169</v>
      </c>
      <c r="X82" s="8">
        <v>385</v>
      </c>
      <c r="Y82" s="8">
        <v>539</v>
      </c>
      <c r="Z82" s="100">
        <v>380</v>
      </c>
      <c r="AA82" s="100">
        <v>532</v>
      </c>
      <c r="AB82">
        <f t="shared" si="8"/>
        <v>999.3</v>
      </c>
    </row>
    <row r="83" spans="1:28">
      <c r="A83" s="2">
        <v>81</v>
      </c>
      <c r="B83" s="101">
        <v>101453</v>
      </c>
      <c r="C83" s="2" t="s">
        <v>203</v>
      </c>
      <c r="D83" s="2" t="s">
        <v>109</v>
      </c>
      <c r="E83" s="2" t="s">
        <v>204</v>
      </c>
      <c r="F83" s="8">
        <v>6</v>
      </c>
      <c r="G83" s="8">
        <v>11</v>
      </c>
      <c r="H83" s="8">
        <v>15</v>
      </c>
      <c r="I83" s="95">
        <v>17</v>
      </c>
      <c r="J83" s="95">
        <v>29</v>
      </c>
      <c r="K83" s="95">
        <v>32</v>
      </c>
      <c r="L83" s="95">
        <v>2</v>
      </c>
      <c r="M83" s="95">
        <v>3</v>
      </c>
      <c r="N83" s="95">
        <f t="shared" si="6"/>
        <v>46</v>
      </c>
      <c r="O83" s="95">
        <v>1</v>
      </c>
      <c r="P83" s="95">
        <v>2</v>
      </c>
      <c r="Q83" s="95">
        <v>8</v>
      </c>
      <c r="R83" s="95">
        <v>12</v>
      </c>
      <c r="S83" s="95">
        <f t="shared" si="7"/>
        <v>9</v>
      </c>
      <c r="T83" s="8">
        <v>66</v>
      </c>
      <c r="U83" s="8">
        <v>99</v>
      </c>
      <c r="V83" s="8">
        <v>344.01</v>
      </c>
      <c r="W83" s="8">
        <v>516</v>
      </c>
      <c r="X83" s="8">
        <v>689</v>
      </c>
      <c r="Y83" s="91">
        <v>861</v>
      </c>
      <c r="Z83" s="100">
        <v>380</v>
      </c>
      <c r="AA83" s="100">
        <v>532</v>
      </c>
      <c r="AB83">
        <f t="shared" si="8"/>
        <v>1135</v>
      </c>
    </row>
    <row r="84" spans="1:28">
      <c r="A84" s="2">
        <v>82</v>
      </c>
      <c r="B84" s="2">
        <v>718</v>
      </c>
      <c r="C84" s="2" t="s">
        <v>163</v>
      </c>
      <c r="D84" s="2" t="s">
        <v>113</v>
      </c>
      <c r="E84" s="2" t="s">
        <v>149</v>
      </c>
      <c r="F84" s="8">
        <v>6</v>
      </c>
      <c r="G84" s="8">
        <v>9</v>
      </c>
      <c r="H84" s="8">
        <v>12</v>
      </c>
      <c r="I84" s="95">
        <v>13</v>
      </c>
      <c r="J84" s="95">
        <v>23</v>
      </c>
      <c r="K84" s="95">
        <v>24</v>
      </c>
      <c r="L84" s="95">
        <v>1</v>
      </c>
      <c r="M84" s="95">
        <v>1</v>
      </c>
      <c r="N84" s="95">
        <f t="shared" si="6"/>
        <v>36</v>
      </c>
      <c r="O84" s="95">
        <v>1</v>
      </c>
      <c r="P84" s="95">
        <v>2</v>
      </c>
      <c r="Q84" s="95">
        <v>1</v>
      </c>
      <c r="R84" s="95">
        <v>3</v>
      </c>
      <c r="S84" s="95">
        <f t="shared" si="7"/>
        <v>2</v>
      </c>
      <c r="T84" s="8">
        <v>57.73</v>
      </c>
      <c r="U84" s="8">
        <v>86.6</v>
      </c>
      <c r="V84" s="8">
        <v>84.5</v>
      </c>
      <c r="W84" s="8">
        <v>169</v>
      </c>
      <c r="X84" s="8">
        <v>134</v>
      </c>
      <c r="Y84" s="8">
        <v>188</v>
      </c>
      <c r="Z84" s="100">
        <v>1048</v>
      </c>
      <c r="AA84" s="100">
        <v>1310</v>
      </c>
      <c r="AB84">
        <f t="shared" si="8"/>
        <v>1239.73</v>
      </c>
    </row>
    <row r="85" spans="1:28">
      <c r="A85" s="2">
        <v>83</v>
      </c>
      <c r="B85" s="2">
        <v>713</v>
      </c>
      <c r="C85" s="2" t="s">
        <v>201</v>
      </c>
      <c r="D85" s="2" t="s">
        <v>113</v>
      </c>
      <c r="E85" s="2" t="s">
        <v>188</v>
      </c>
      <c r="F85" s="8">
        <v>6</v>
      </c>
      <c r="G85" s="8">
        <v>9</v>
      </c>
      <c r="H85" s="8">
        <v>14</v>
      </c>
      <c r="I85" s="95">
        <v>15</v>
      </c>
      <c r="J85" s="95">
        <v>20</v>
      </c>
      <c r="K85" s="95">
        <v>20</v>
      </c>
      <c r="L85" s="95">
        <v>1</v>
      </c>
      <c r="M85" s="95">
        <v>1</v>
      </c>
      <c r="N85" s="95">
        <f t="shared" si="6"/>
        <v>35</v>
      </c>
      <c r="O85" s="95">
        <v>1</v>
      </c>
      <c r="P85" s="95">
        <v>2</v>
      </c>
      <c r="Q85" s="95">
        <v>1</v>
      </c>
      <c r="R85" s="95">
        <v>3</v>
      </c>
      <c r="S85" s="95">
        <f t="shared" si="7"/>
        <v>2</v>
      </c>
      <c r="T85" s="8">
        <v>78</v>
      </c>
      <c r="U85" s="8">
        <v>117</v>
      </c>
      <c r="V85" s="8">
        <v>84.5</v>
      </c>
      <c r="W85" s="8">
        <v>169</v>
      </c>
      <c r="X85" s="8">
        <v>884.36</v>
      </c>
      <c r="Y85" s="91">
        <v>1105</v>
      </c>
      <c r="Z85" s="100">
        <v>1239</v>
      </c>
      <c r="AA85" s="100">
        <v>1548.75</v>
      </c>
      <c r="AB85">
        <f t="shared" si="8"/>
        <v>2201.36</v>
      </c>
    </row>
    <row r="86" spans="1:28">
      <c r="A86" s="2">
        <v>84</v>
      </c>
      <c r="B86" s="2">
        <v>311</v>
      </c>
      <c r="C86" s="2" t="s">
        <v>117</v>
      </c>
      <c r="D86" s="2" t="s">
        <v>107</v>
      </c>
      <c r="E86" s="2" t="s">
        <v>93</v>
      </c>
      <c r="F86" s="8">
        <v>24</v>
      </c>
      <c r="G86" s="8">
        <v>29</v>
      </c>
      <c r="H86" s="8">
        <v>15</v>
      </c>
      <c r="I86" s="95">
        <v>17</v>
      </c>
      <c r="J86" s="95">
        <v>6</v>
      </c>
      <c r="K86" s="95">
        <v>3</v>
      </c>
      <c r="L86" s="95">
        <v>2</v>
      </c>
      <c r="M86" s="95">
        <v>3</v>
      </c>
      <c r="N86" s="95">
        <f t="shared" si="6"/>
        <v>23</v>
      </c>
      <c r="O86" s="95">
        <v>1</v>
      </c>
      <c r="P86" s="95">
        <v>2</v>
      </c>
      <c r="Q86" s="95">
        <v>3</v>
      </c>
      <c r="R86" s="95">
        <v>5</v>
      </c>
      <c r="S86" s="95">
        <f t="shared" si="7"/>
        <v>4</v>
      </c>
      <c r="T86" s="91">
        <v>150</v>
      </c>
      <c r="U86" s="8">
        <v>225</v>
      </c>
      <c r="V86" s="8">
        <v>84.5</v>
      </c>
      <c r="W86" s="8">
        <v>169</v>
      </c>
      <c r="X86" s="8">
        <v>620.92</v>
      </c>
      <c r="Y86" s="91">
        <v>776</v>
      </c>
      <c r="Z86" s="100">
        <v>3551</v>
      </c>
      <c r="AA86" s="100">
        <v>4438.75</v>
      </c>
      <c r="AB86">
        <f t="shared" si="8"/>
        <v>4321.92</v>
      </c>
    </row>
    <row r="87" spans="1:28">
      <c r="A87" s="2">
        <v>85</v>
      </c>
      <c r="B87" s="101">
        <v>102565</v>
      </c>
      <c r="C87" s="2" t="s">
        <v>118</v>
      </c>
      <c r="D87" s="2" t="s">
        <v>109</v>
      </c>
      <c r="E87" s="2" t="s">
        <v>93</v>
      </c>
      <c r="F87" s="8">
        <v>6</v>
      </c>
      <c r="G87" s="8">
        <v>11</v>
      </c>
      <c r="H87" s="8">
        <v>15</v>
      </c>
      <c r="I87" s="95">
        <v>17</v>
      </c>
      <c r="J87" s="95">
        <v>29</v>
      </c>
      <c r="K87" s="95">
        <v>32</v>
      </c>
      <c r="L87" s="95">
        <v>2</v>
      </c>
      <c r="M87" s="95">
        <v>3</v>
      </c>
      <c r="N87" s="95">
        <f t="shared" si="6"/>
        <v>46</v>
      </c>
      <c r="O87" s="95">
        <v>1</v>
      </c>
      <c r="P87" s="95">
        <v>2</v>
      </c>
      <c r="Q87" s="95">
        <v>3</v>
      </c>
      <c r="R87" s="95">
        <v>5</v>
      </c>
      <c r="S87" s="95">
        <f t="shared" si="7"/>
        <v>4</v>
      </c>
      <c r="T87" s="8">
        <v>632.3</v>
      </c>
      <c r="U87" s="8">
        <v>885.22</v>
      </c>
      <c r="V87" s="8">
        <v>84.5</v>
      </c>
      <c r="W87" s="8">
        <v>169</v>
      </c>
      <c r="X87" s="8">
        <v>689</v>
      </c>
      <c r="Y87" s="91">
        <v>861</v>
      </c>
      <c r="Z87" s="100">
        <v>380</v>
      </c>
      <c r="AA87" s="100">
        <v>532</v>
      </c>
      <c r="AB87">
        <f t="shared" si="8"/>
        <v>1701.3</v>
      </c>
    </row>
    <row r="88" spans="1:28">
      <c r="A88" s="2">
        <v>86</v>
      </c>
      <c r="B88" s="101">
        <v>102564</v>
      </c>
      <c r="C88" s="2" t="s">
        <v>205</v>
      </c>
      <c r="D88" s="2" t="s">
        <v>113</v>
      </c>
      <c r="E88" s="2" t="s">
        <v>204</v>
      </c>
      <c r="F88" s="8">
        <v>6</v>
      </c>
      <c r="G88" s="8">
        <v>9</v>
      </c>
      <c r="H88" s="8">
        <v>9</v>
      </c>
      <c r="I88" s="95">
        <v>9</v>
      </c>
      <c r="J88" s="95">
        <v>16</v>
      </c>
      <c r="K88" s="95">
        <v>15</v>
      </c>
      <c r="L88" s="95">
        <v>1</v>
      </c>
      <c r="M88" s="95">
        <v>1</v>
      </c>
      <c r="N88" s="95">
        <f t="shared" si="6"/>
        <v>26</v>
      </c>
      <c r="O88" s="95">
        <v>1</v>
      </c>
      <c r="P88" s="95">
        <v>2</v>
      </c>
      <c r="Q88" s="95">
        <v>2</v>
      </c>
      <c r="R88" s="95">
        <v>4</v>
      </c>
      <c r="S88" s="95">
        <f t="shared" si="7"/>
        <v>3</v>
      </c>
      <c r="T88" s="8">
        <v>100</v>
      </c>
      <c r="U88" s="8">
        <v>150</v>
      </c>
      <c r="V88" s="8">
        <v>355.01</v>
      </c>
      <c r="W88" s="8">
        <v>532.5</v>
      </c>
      <c r="X88" s="8">
        <v>476</v>
      </c>
      <c r="Y88" s="8">
        <v>666</v>
      </c>
      <c r="Z88" s="100">
        <v>160</v>
      </c>
      <c r="AA88" s="100">
        <v>224</v>
      </c>
      <c r="AB88">
        <f t="shared" si="8"/>
        <v>736</v>
      </c>
    </row>
    <row r="89" spans="1:28">
      <c r="A89" s="2">
        <v>87</v>
      </c>
      <c r="B89" s="101">
        <v>102567</v>
      </c>
      <c r="C89" s="2" t="s">
        <v>184</v>
      </c>
      <c r="D89" s="2" t="s">
        <v>109</v>
      </c>
      <c r="E89" s="2" t="s">
        <v>185</v>
      </c>
      <c r="F89" s="8">
        <v>6</v>
      </c>
      <c r="G89" s="8">
        <v>11</v>
      </c>
      <c r="H89" s="8">
        <v>15</v>
      </c>
      <c r="I89" s="95">
        <v>17</v>
      </c>
      <c r="J89" s="95">
        <v>29</v>
      </c>
      <c r="K89" s="95">
        <v>32</v>
      </c>
      <c r="L89" s="95">
        <v>2</v>
      </c>
      <c r="M89" s="95">
        <v>3</v>
      </c>
      <c r="N89" s="95">
        <f t="shared" si="6"/>
        <v>46</v>
      </c>
      <c r="O89" s="95">
        <v>1</v>
      </c>
      <c r="P89" s="95">
        <v>2</v>
      </c>
      <c r="Q89" s="95">
        <v>3</v>
      </c>
      <c r="R89" s="95">
        <v>5</v>
      </c>
      <c r="S89" s="95">
        <f t="shared" si="7"/>
        <v>4</v>
      </c>
      <c r="T89" s="8">
        <v>564.3</v>
      </c>
      <c r="U89" s="8">
        <v>790.02</v>
      </c>
      <c r="V89" s="8">
        <v>84.5</v>
      </c>
      <c r="W89" s="8">
        <v>169</v>
      </c>
      <c r="X89" s="8">
        <v>689</v>
      </c>
      <c r="Y89" s="91">
        <v>861</v>
      </c>
      <c r="Z89" s="100">
        <v>380</v>
      </c>
      <c r="AA89" s="100">
        <v>532</v>
      </c>
      <c r="AB89">
        <f t="shared" si="8"/>
        <v>1633.3</v>
      </c>
    </row>
    <row r="90" spans="1:28">
      <c r="A90" s="2">
        <v>88</v>
      </c>
      <c r="B90" s="101">
        <v>102935</v>
      </c>
      <c r="C90" s="2" t="s">
        <v>164</v>
      </c>
      <c r="D90" s="2" t="s">
        <v>109</v>
      </c>
      <c r="E90" s="2" t="s">
        <v>149</v>
      </c>
      <c r="F90" s="8">
        <v>6</v>
      </c>
      <c r="G90" s="8">
        <v>11</v>
      </c>
      <c r="H90" s="8">
        <v>15</v>
      </c>
      <c r="I90" s="95">
        <v>17</v>
      </c>
      <c r="J90" s="95">
        <v>29</v>
      </c>
      <c r="K90" s="95">
        <v>32</v>
      </c>
      <c r="L90" s="95">
        <v>2</v>
      </c>
      <c r="M90" s="95">
        <v>3</v>
      </c>
      <c r="N90" s="95">
        <f t="shared" si="6"/>
        <v>46</v>
      </c>
      <c r="O90" s="95">
        <v>1</v>
      </c>
      <c r="P90" s="95">
        <v>2</v>
      </c>
      <c r="Q90" s="95">
        <v>4</v>
      </c>
      <c r="R90" s="95">
        <v>6</v>
      </c>
      <c r="S90" s="95">
        <f t="shared" si="7"/>
        <v>5</v>
      </c>
      <c r="T90" s="8">
        <v>68</v>
      </c>
      <c r="U90" s="8">
        <v>102</v>
      </c>
      <c r="V90" s="8">
        <v>84.5</v>
      </c>
      <c r="W90" s="8">
        <v>169</v>
      </c>
      <c r="X90" s="8">
        <v>689</v>
      </c>
      <c r="Y90" s="91">
        <v>861</v>
      </c>
      <c r="Z90" s="100">
        <v>380</v>
      </c>
      <c r="AA90" s="100">
        <v>532</v>
      </c>
      <c r="AB90">
        <f t="shared" si="8"/>
        <v>1137</v>
      </c>
    </row>
    <row r="91" spans="1:28">
      <c r="A91" s="2">
        <v>89</v>
      </c>
      <c r="B91" s="101">
        <v>103198</v>
      </c>
      <c r="C91" s="2" t="s">
        <v>119</v>
      </c>
      <c r="D91" s="2" t="s">
        <v>109</v>
      </c>
      <c r="E91" s="2" t="s">
        <v>93</v>
      </c>
      <c r="F91" s="8">
        <v>6</v>
      </c>
      <c r="G91" s="8">
        <v>11</v>
      </c>
      <c r="H91" s="8">
        <v>15</v>
      </c>
      <c r="I91" s="95">
        <v>17</v>
      </c>
      <c r="J91" s="95">
        <v>29</v>
      </c>
      <c r="K91" s="95">
        <v>32</v>
      </c>
      <c r="L91" s="95">
        <v>2</v>
      </c>
      <c r="M91" s="95">
        <v>3</v>
      </c>
      <c r="N91" s="95">
        <f t="shared" si="6"/>
        <v>46</v>
      </c>
      <c r="O91" s="95">
        <v>2</v>
      </c>
      <c r="P91" s="95">
        <v>3</v>
      </c>
      <c r="Q91" s="95">
        <v>5</v>
      </c>
      <c r="R91" s="95">
        <v>8</v>
      </c>
      <c r="S91" s="95">
        <f t="shared" si="7"/>
        <v>7</v>
      </c>
      <c r="T91" s="91">
        <v>150</v>
      </c>
      <c r="U91" s="8">
        <v>225</v>
      </c>
      <c r="V91" s="8">
        <v>1164.51</v>
      </c>
      <c r="W91" s="8">
        <v>1339.2</v>
      </c>
      <c r="X91" s="8">
        <v>689</v>
      </c>
      <c r="Y91" s="91">
        <v>861</v>
      </c>
      <c r="Z91" s="100">
        <v>380</v>
      </c>
      <c r="AA91" s="100">
        <v>532</v>
      </c>
      <c r="AB91">
        <f t="shared" si="8"/>
        <v>1219</v>
      </c>
    </row>
    <row r="92" spans="1:28">
      <c r="A92" s="2">
        <v>90</v>
      </c>
      <c r="B92" s="101">
        <v>103199</v>
      </c>
      <c r="C92" s="2" t="s">
        <v>120</v>
      </c>
      <c r="D92" s="2" t="s">
        <v>109</v>
      </c>
      <c r="E92" s="2" t="s">
        <v>93</v>
      </c>
      <c r="F92" s="8">
        <v>6</v>
      </c>
      <c r="G92" s="8">
        <v>11</v>
      </c>
      <c r="H92" s="8">
        <v>15</v>
      </c>
      <c r="I92" s="95">
        <v>17</v>
      </c>
      <c r="J92" s="95">
        <v>29</v>
      </c>
      <c r="K92" s="95">
        <v>32</v>
      </c>
      <c r="L92" s="95">
        <v>2</v>
      </c>
      <c r="M92" s="95">
        <v>3</v>
      </c>
      <c r="N92" s="95">
        <f t="shared" si="6"/>
        <v>46</v>
      </c>
      <c r="O92" s="95">
        <v>1</v>
      </c>
      <c r="P92" s="95">
        <v>2</v>
      </c>
      <c r="Q92" s="95">
        <v>1</v>
      </c>
      <c r="R92" s="95">
        <v>3</v>
      </c>
      <c r="S92" s="95">
        <f t="shared" si="7"/>
        <v>2</v>
      </c>
      <c r="T92" s="8">
        <v>68</v>
      </c>
      <c r="U92" s="8">
        <v>102</v>
      </c>
      <c r="V92" s="8">
        <v>84.5</v>
      </c>
      <c r="W92" s="8">
        <v>169</v>
      </c>
      <c r="X92" s="8">
        <v>689</v>
      </c>
      <c r="Y92" s="91">
        <v>861</v>
      </c>
      <c r="Z92" s="100">
        <v>380</v>
      </c>
      <c r="AA92" s="100">
        <v>532</v>
      </c>
      <c r="AB92">
        <f t="shared" si="8"/>
        <v>1137</v>
      </c>
    </row>
    <row r="93" spans="1:28">
      <c r="A93" s="2">
        <v>91</v>
      </c>
      <c r="B93" s="101">
        <v>102934</v>
      </c>
      <c r="C93" s="2" t="s">
        <v>121</v>
      </c>
      <c r="D93" s="2" t="s">
        <v>92</v>
      </c>
      <c r="E93" s="2" t="s">
        <v>93</v>
      </c>
      <c r="F93" s="8">
        <v>24</v>
      </c>
      <c r="G93" s="8">
        <v>32</v>
      </c>
      <c r="H93" s="8">
        <v>42</v>
      </c>
      <c r="I93" s="95">
        <v>49</v>
      </c>
      <c r="J93" s="95">
        <v>30</v>
      </c>
      <c r="K93" s="95">
        <v>33</v>
      </c>
      <c r="L93" s="95">
        <v>2</v>
      </c>
      <c r="M93" s="95">
        <v>3</v>
      </c>
      <c r="N93" s="95">
        <f t="shared" si="6"/>
        <v>74</v>
      </c>
      <c r="O93" s="95">
        <v>4</v>
      </c>
      <c r="P93" s="95">
        <v>6</v>
      </c>
      <c r="Q93" s="95">
        <v>18</v>
      </c>
      <c r="R93" s="95">
        <v>23</v>
      </c>
      <c r="S93" s="95">
        <f t="shared" si="7"/>
        <v>22</v>
      </c>
      <c r="T93" s="91">
        <v>300</v>
      </c>
      <c r="U93" s="8">
        <v>450</v>
      </c>
      <c r="V93" s="8">
        <v>168</v>
      </c>
      <c r="W93" s="8">
        <v>252</v>
      </c>
      <c r="X93" s="8">
        <v>830</v>
      </c>
      <c r="Y93" s="8">
        <v>980</v>
      </c>
      <c r="Z93" s="100">
        <v>1826</v>
      </c>
      <c r="AA93" s="100">
        <v>2282.5</v>
      </c>
      <c r="AB93">
        <f t="shared" si="8"/>
        <v>2956</v>
      </c>
    </row>
    <row r="94" spans="1:28">
      <c r="A94" s="2">
        <v>92</v>
      </c>
      <c r="B94" s="101">
        <v>102478</v>
      </c>
      <c r="C94" s="2" t="s">
        <v>165</v>
      </c>
      <c r="D94" s="2" t="s">
        <v>139</v>
      </c>
      <c r="E94" s="2" t="s">
        <v>149</v>
      </c>
      <c r="F94" s="8">
        <v>6</v>
      </c>
      <c r="G94" s="8">
        <v>9</v>
      </c>
      <c r="H94" s="8">
        <v>9</v>
      </c>
      <c r="I94" s="95">
        <v>9</v>
      </c>
      <c r="J94" s="95">
        <v>16</v>
      </c>
      <c r="K94" s="95">
        <v>15</v>
      </c>
      <c r="L94" s="95">
        <v>1</v>
      </c>
      <c r="M94" s="95">
        <v>1</v>
      </c>
      <c r="N94" s="95">
        <f t="shared" si="6"/>
        <v>26</v>
      </c>
      <c r="O94" s="95">
        <v>1</v>
      </c>
      <c r="P94" s="95">
        <v>2</v>
      </c>
      <c r="Q94" s="95">
        <v>1</v>
      </c>
      <c r="R94" s="95">
        <v>3</v>
      </c>
      <c r="S94" s="95">
        <f t="shared" si="7"/>
        <v>2</v>
      </c>
      <c r="T94" s="8">
        <v>100</v>
      </c>
      <c r="U94" s="8">
        <v>150</v>
      </c>
      <c r="V94" s="8">
        <v>84.5</v>
      </c>
      <c r="W94" s="8">
        <v>169</v>
      </c>
      <c r="X94" s="8">
        <v>204</v>
      </c>
      <c r="Y94" s="8">
        <v>286</v>
      </c>
      <c r="Z94" s="100">
        <v>160</v>
      </c>
      <c r="AA94" s="100">
        <v>224</v>
      </c>
      <c r="AB94">
        <f t="shared" si="8"/>
        <v>464</v>
      </c>
    </row>
    <row r="95" spans="1:28">
      <c r="A95" s="2">
        <v>93</v>
      </c>
      <c r="B95" s="101">
        <v>102479</v>
      </c>
      <c r="C95" s="2" t="s">
        <v>166</v>
      </c>
      <c r="D95" s="2" t="s">
        <v>109</v>
      </c>
      <c r="E95" s="2" t="s">
        <v>149</v>
      </c>
      <c r="F95" s="8">
        <v>6</v>
      </c>
      <c r="G95" s="8">
        <v>11</v>
      </c>
      <c r="H95" s="8">
        <v>15</v>
      </c>
      <c r="I95" s="95">
        <v>17</v>
      </c>
      <c r="J95" s="95">
        <v>29</v>
      </c>
      <c r="K95" s="95">
        <v>32</v>
      </c>
      <c r="L95" s="95">
        <v>2</v>
      </c>
      <c r="M95" s="95">
        <v>3</v>
      </c>
      <c r="N95" s="95">
        <f t="shared" si="6"/>
        <v>46</v>
      </c>
      <c r="O95" s="95">
        <v>1</v>
      </c>
      <c r="P95" s="95">
        <v>2</v>
      </c>
      <c r="Q95" s="95">
        <v>10</v>
      </c>
      <c r="R95" s="95">
        <v>15</v>
      </c>
      <c r="S95" s="95">
        <f t="shared" si="7"/>
        <v>11</v>
      </c>
      <c r="T95" s="8">
        <v>168.3</v>
      </c>
      <c r="U95" s="8">
        <v>252.45</v>
      </c>
      <c r="V95" s="8">
        <v>84.5</v>
      </c>
      <c r="W95" s="8">
        <v>169</v>
      </c>
      <c r="X95" s="8">
        <v>689</v>
      </c>
      <c r="Y95" s="91">
        <v>861</v>
      </c>
      <c r="Z95" s="100">
        <v>380</v>
      </c>
      <c r="AA95" s="100">
        <v>532</v>
      </c>
      <c r="AB95">
        <f t="shared" si="8"/>
        <v>1237.3</v>
      </c>
    </row>
    <row r="96" spans="1:28">
      <c r="A96" s="2">
        <v>94</v>
      </c>
      <c r="B96" s="101">
        <v>103639</v>
      </c>
      <c r="C96" s="2" t="s">
        <v>146</v>
      </c>
      <c r="D96" s="2" t="s">
        <v>109</v>
      </c>
      <c r="E96" s="2" t="s">
        <v>127</v>
      </c>
      <c r="F96" s="8">
        <v>6</v>
      </c>
      <c r="G96" s="8">
        <v>11</v>
      </c>
      <c r="H96" s="8">
        <v>15</v>
      </c>
      <c r="I96" s="95">
        <v>17</v>
      </c>
      <c r="J96" s="95">
        <v>29</v>
      </c>
      <c r="K96" s="95">
        <v>32</v>
      </c>
      <c r="L96" s="95">
        <v>2</v>
      </c>
      <c r="M96" s="95">
        <v>3</v>
      </c>
      <c r="N96" s="95">
        <f t="shared" si="6"/>
        <v>46</v>
      </c>
      <c r="O96" s="95">
        <v>1</v>
      </c>
      <c r="P96" s="95">
        <v>2</v>
      </c>
      <c r="Q96" s="95">
        <v>2</v>
      </c>
      <c r="R96" s="95">
        <v>4</v>
      </c>
      <c r="S96" s="95">
        <f t="shared" si="7"/>
        <v>3</v>
      </c>
      <c r="T96" s="91">
        <v>150</v>
      </c>
      <c r="U96" s="8">
        <v>225</v>
      </c>
      <c r="V96" s="8">
        <v>84.5</v>
      </c>
      <c r="W96" s="8">
        <v>169</v>
      </c>
      <c r="X96" s="8">
        <v>689</v>
      </c>
      <c r="Y96" s="91">
        <v>861</v>
      </c>
      <c r="Z96" s="100">
        <v>380</v>
      </c>
      <c r="AA96" s="100">
        <v>532</v>
      </c>
      <c r="AB96">
        <f t="shared" si="8"/>
        <v>1219</v>
      </c>
    </row>
    <row r="97" s="13" customFormat="1" spans="1:28">
      <c r="A97" s="102"/>
      <c r="B97" s="85" t="s">
        <v>208</v>
      </c>
      <c r="C97" s="102"/>
      <c r="D97" s="85"/>
      <c r="E97" s="102"/>
      <c r="F97" s="103">
        <v>1520</v>
      </c>
      <c r="G97" s="103">
        <v>2023</v>
      </c>
      <c r="H97" s="8">
        <v>3330</v>
      </c>
      <c r="I97" s="95">
        <v>3720</v>
      </c>
      <c r="J97" s="95">
        <v>4560</v>
      </c>
      <c r="K97" s="95">
        <v>5074</v>
      </c>
      <c r="L97" s="95">
        <v>301</v>
      </c>
      <c r="M97" s="95">
        <v>390</v>
      </c>
      <c r="N97" s="95">
        <f t="shared" si="6"/>
        <v>8191</v>
      </c>
      <c r="O97" s="95">
        <v>139</v>
      </c>
      <c r="P97" s="95">
        <v>242</v>
      </c>
      <c r="Q97" s="95">
        <v>715</v>
      </c>
      <c r="R97" s="95">
        <v>1041</v>
      </c>
      <c r="S97" s="95">
        <f t="shared" si="7"/>
        <v>854</v>
      </c>
      <c r="T97" s="95">
        <v>40952.85</v>
      </c>
      <c r="U97" s="95">
        <v>55909.87</v>
      </c>
      <c r="V97" s="95">
        <v>35205.79</v>
      </c>
      <c r="W97" s="95">
        <v>45306.8</v>
      </c>
      <c r="X97" s="95">
        <v>69978.33</v>
      </c>
      <c r="Y97" s="103">
        <v>85166</v>
      </c>
      <c r="Z97" s="106">
        <v>202159.94</v>
      </c>
      <c r="AA97" s="106">
        <v>242398.49</v>
      </c>
      <c r="AB97">
        <f t="shared" si="8"/>
        <v>313091.12</v>
      </c>
    </row>
    <row r="99" s="1" customFormat="1" ht="62" customHeight="1" spans="1:27">
      <c r="A99" s="104" t="s">
        <v>209</v>
      </c>
      <c r="B99" s="104"/>
      <c r="C99" s="104"/>
      <c r="D99" s="105"/>
      <c r="E99" s="104"/>
      <c r="F99" s="104"/>
      <c r="G99" s="104"/>
      <c r="H99" s="104"/>
      <c r="I99" s="104"/>
      <c r="J99" s="104"/>
      <c r="K99" s="104"/>
      <c r="L99" s="104"/>
      <c r="M99" s="104"/>
      <c r="N99" s="104"/>
      <c r="O99" s="104"/>
      <c r="P99" s="104"/>
      <c r="Q99" s="104"/>
      <c r="R99" s="104"/>
      <c r="S99" s="104"/>
      <c r="T99" s="7"/>
      <c r="Z99" s="83"/>
      <c r="AA99" s="83"/>
    </row>
  </sheetData>
  <mergeCells count="12">
    <mergeCell ref="A1:C1"/>
    <mergeCell ref="F1:G1"/>
    <mergeCell ref="H1:I1"/>
    <mergeCell ref="J1:K1"/>
    <mergeCell ref="L1:M1"/>
    <mergeCell ref="O1:P1"/>
    <mergeCell ref="Q1:R1"/>
    <mergeCell ref="T1:U1"/>
    <mergeCell ref="V1:W1"/>
    <mergeCell ref="X1:Y1"/>
    <mergeCell ref="Z1:AA1"/>
    <mergeCell ref="A99:G99"/>
  </mergeCells>
  <pageMargins left="0.699305555555556" right="0.699305555555556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J103"/>
  <sheetViews>
    <sheetView tabSelected="1" workbookViewId="0">
      <pane xSplit="5" ySplit="2" topLeftCell="W66" activePane="bottomRight" state="frozen"/>
      <selection/>
      <selection pane="topRight"/>
      <selection pane="bottomLeft"/>
      <selection pane="bottomRight" activeCell="AJ83" sqref="AJ83"/>
    </sheetView>
  </sheetViews>
  <sheetFormatPr defaultColWidth="9" defaultRowHeight="13.5"/>
  <cols>
    <col min="1" max="1" width="3.75" style="62" customWidth="1"/>
    <col min="2" max="2" width="6.75" style="62" customWidth="1"/>
    <col min="3" max="3" width="23.375" style="63" customWidth="1"/>
    <col min="4" max="4" width="3.625" style="62" hidden="1" customWidth="1"/>
    <col min="5" max="5" width="11" style="62" customWidth="1"/>
    <col min="6" max="19" width="7" style="7" customWidth="1"/>
    <col min="20" max="20" width="7" style="10" customWidth="1"/>
    <col min="21" max="27" width="7" style="64" customWidth="1"/>
    <col min="28" max="36" width="7.75" customWidth="1"/>
  </cols>
  <sheetData>
    <row r="1" spans="1:36">
      <c r="A1" s="65" t="s">
        <v>215</v>
      </c>
      <c r="B1" s="65"/>
      <c r="C1" s="65"/>
      <c r="D1" s="65"/>
      <c r="E1" s="66"/>
      <c r="F1" s="67" t="s">
        <v>24</v>
      </c>
      <c r="G1" s="67"/>
      <c r="H1" s="67"/>
      <c r="I1" s="67"/>
      <c r="J1" s="67"/>
      <c r="K1" s="67"/>
      <c r="L1" s="67"/>
      <c r="M1" s="76" t="s">
        <v>36</v>
      </c>
      <c r="N1" s="76"/>
      <c r="O1" s="76"/>
      <c r="P1" s="76"/>
      <c r="Q1" s="76"/>
      <c r="R1" s="76"/>
      <c r="S1" s="76"/>
      <c r="T1" s="77" t="s">
        <v>50</v>
      </c>
      <c r="U1" s="77"/>
      <c r="V1" s="77"/>
      <c r="W1" s="77"/>
      <c r="X1" s="77"/>
      <c r="Y1" s="77"/>
      <c r="Z1" s="77"/>
      <c r="AA1" s="77"/>
      <c r="AB1" s="79" t="s">
        <v>77</v>
      </c>
      <c r="AC1" s="79"/>
      <c r="AD1" s="79"/>
      <c r="AE1" s="79"/>
      <c r="AF1" s="79"/>
      <c r="AG1" s="79"/>
      <c r="AH1" s="79"/>
      <c r="AI1" s="69" t="s">
        <v>208</v>
      </c>
      <c r="AJ1" s="69"/>
    </row>
    <row r="2" s="1" customFormat="1" ht="23" customHeight="1" spans="1:36">
      <c r="A2" s="22" t="s">
        <v>4</v>
      </c>
      <c r="B2" s="22" t="s">
        <v>78</v>
      </c>
      <c r="C2" s="22" t="s">
        <v>79</v>
      </c>
      <c r="D2" s="22" t="s">
        <v>80</v>
      </c>
      <c r="E2" s="22" t="s">
        <v>81</v>
      </c>
      <c r="F2" s="67" t="s">
        <v>20</v>
      </c>
      <c r="G2" s="67" t="s">
        <v>21</v>
      </c>
      <c r="H2" s="67" t="s">
        <v>216</v>
      </c>
      <c r="I2" s="67" t="s">
        <v>217</v>
      </c>
      <c r="J2" s="67" t="s">
        <v>218</v>
      </c>
      <c r="K2" s="67" t="s">
        <v>219</v>
      </c>
      <c r="L2" s="67" t="s">
        <v>22</v>
      </c>
      <c r="M2" s="76" t="s">
        <v>20</v>
      </c>
      <c r="N2" s="76" t="s">
        <v>21</v>
      </c>
      <c r="O2" s="76" t="s">
        <v>216</v>
      </c>
      <c r="P2" s="76" t="s">
        <v>217</v>
      </c>
      <c r="Q2" s="76" t="s">
        <v>218</v>
      </c>
      <c r="R2" s="76" t="s">
        <v>219</v>
      </c>
      <c r="S2" s="76" t="s">
        <v>22</v>
      </c>
      <c r="T2" s="77" t="s">
        <v>20</v>
      </c>
      <c r="U2" s="77" t="s">
        <v>21</v>
      </c>
      <c r="V2" s="77" t="s">
        <v>216</v>
      </c>
      <c r="W2" s="77" t="s">
        <v>217</v>
      </c>
      <c r="X2" s="77" t="s">
        <v>220</v>
      </c>
      <c r="Y2" s="77" t="s">
        <v>218</v>
      </c>
      <c r="Z2" s="77" t="s">
        <v>219</v>
      </c>
      <c r="AA2" s="77" t="s">
        <v>22</v>
      </c>
      <c r="AB2" s="79" t="s">
        <v>20</v>
      </c>
      <c r="AC2" s="79" t="s">
        <v>21</v>
      </c>
      <c r="AD2" s="79" t="s">
        <v>221</v>
      </c>
      <c r="AE2" s="79" t="s">
        <v>217</v>
      </c>
      <c r="AF2" s="79" t="s">
        <v>218</v>
      </c>
      <c r="AG2" s="79" t="s">
        <v>219</v>
      </c>
      <c r="AH2" s="79" t="s">
        <v>22</v>
      </c>
      <c r="AI2" s="69" t="s">
        <v>222</v>
      </c>
      <c r="AJ2" s="69" t="s">
        <v>223</v>
      </c>
    </row>
    <row r="3" spans="1:36">
      <c r="A3" s="68">
        <v>1</v>
      </c>
      <c r="B3" s="68">
        <v>343</v>
      </c>
      <c r="C3" s="68" t="s">
        <v>91</v>
      </c>
      <c r="D3" s="68" t="s">
        <v>92</v>
      </c>
      <c r="E3" s="68" t="s">
        <v>93</v>
      </c>
      <c r="F3" s="69">
        <v>29</v>
      </c>
      <c r="G3" s="69">
        <v>35</v>
      </c>
      <c r="H3" s="69">
        <v>15</v>
      </c>
      <c r="I3" s="69">
        <f>H3-F3</f>
        <v>-14</v>
      </c>
      <c r="J3" s="69" t="s">
        <v>224</v>
      </c>
      <c r="K3" s="69">
        <f>H3*1</f>
        <v>15</v>
      </c>
      <c r="L3" s="69">
        <f>I3*1</f>
        <v>-14</v>
      </c>
      <c r="M3" s="69">
        <v>293</v>
      </c>
      <c r="N3" s="69">
        <v>319</v>
      </c>
      <c r="O3" s="69">
        <v>172</v>
      </c>
      <c r="P3" s="69">
        <f t="shared" ref="P3:P65" si="0">O3-M3</f>
        <v>-121</v>
      </c>
      <c r="Q3" s="69" t="s">
        <v>224</v>
      </c>
      <c r="R3" s="69">
        <f>O3*0.8</f>
        <v>137.6</v>
      </c>
      <c r="S3" s="69">
        <f>P3*0.6</f>
        <v>-72.6</v>
      </c>
      <c r="T3" s="24">
        <v>6</v>
      </c>
      <c r="U3" s="24">
        <f t="shared" ref="U3:U47" si="1">T3+1</f>
        <v>7</v>
      </c>
      <c r="V3" s="24">
        <v>3</v>
      </c>
      <c r="W3" s="24">
        <f>V3-T3</f>
        <v>-3</v>
      </c>
      <c r="X3" s="24">
        <f>VLOOKUP(B:B,'[4]SQL Results'!$B$1:$P$65536,15,0)</f>
        <v>396</v>
      </c>
      <c r="Y3" s="24" t="s">
        <v>224</v>
      </c>
      <c r="Z3" s="24">
        <f>X3*0.05</f>
        <v>19.8</v>
      </c>
      <c r="AA3" s="24"/>
      <c r="AB3" s="69">
        <v>20082.91</v>
      </c>
      <c r="AC3" s="69">
        <v>20989.54</v>
      </c>
      <c r="AD3" s="69">
        <v>9819.39</v>
      </c>
      <c r="AE3" s="69">
        <f t="shared" ref="AE3:AE65" si="2">AD3-AB3</f>
        <v>-10263.52</v>
      </c>
      <c r="AF3" s="69" t="s">
        <v>224</v>
      </c>
      <c r="AG3" s="69">
        <f>AD3*0.05</f>
        <v>490.9695</v>
      </c>
      <c r="AH3" s="69">
        <f>AE3*0.04</f>
        <v>-410.5408</v>
      </c>
      <c r="AI3" s="69">
        <f>ROUND(K3+R3+Z3+AG3,0)</f>
        <v>663</v>
      </c>
      <c r="AJ3" s="69">
        <f>ROUND(L3+S3+AA3+AH3,0)</f>
        <v>-497</v>
      </c>
    </row>
    <row r="4" spans="1:36">
      <c r="A4" s="68">
        <v>2</v>
      </c>
      <c r="B4" s="68">
        <v>581</v>
      </c>
      <c r="C4" s="68" t="s">
        <v>94</v>
      </c>
      <c r="D4" s="68" t="s">
        <v>95</v>
      </c>
      <c r="E4" s="68" t="s">
        <v>93</v>
      </c>
      <c r="F4" s="69">
        <v>26</v>
      </c>
      <c r="G4" s="69">
        <v>31</v>
      </c>
      <c r="H4" s="69">
        <v>2</v>
      </c>
      <c r="I4" s="69">
        <f t="shared" ref="I4:I35" si="3">H4-F4</f>
        <v>-24</v>
      </c>
      <c r="J4" s="69" t="s">
        <v>224</v>
      </c>
      <c r="K4" s="69">
        <f>H4*1</f>
        <v>2</v>
      </c>
      <c r="L4" s="69">
        <f>I4*1</f>
        <v>-24</v>
      </c>
      <c r="M4" s="69">
        <v>274</v>
      </c>
      <c r="N4" s="69">
        <v>299</v>
      </c>
      <c r="O4" s="69">
        <v>155</v>
      </c>
      <c r="P4" s="69">
        <f t="shared" si="0"/>
        <v>-119</v>
      </c>
      <c r="Q4" s="69" t="s">
        <v>224</v>
      </c>
      <c r="R4" s="69">
        <f>O4*0.8</f>
        <v>124</v>
      </c>
      <c r="S4" s="69">
        <f>P4*0.6</f>
        <v>-71.4</v>
      </c>
      <c r="T4" s="24">
        <v>4</v>
      </c>
      <c r="U4" s="24">
        <f t="shared" si="1"/>
        <v>5</v>
      </c>
      <c r="V4" s="24">
        <v>3</v>
      </c>
      <c r="W4" s="24">
        <f t="shared" ref="W4:W35" si="4">V4-T4</f>
        <v>-1</v>
      </c>
      <c r="X4" s="24">
        <f>VLOOKUP(B:B,'[4]SQL Results'!$B$1:$P$65536,15,0)</f>
        <v>396.01</v>
      </c>
      <c r="Y4" s="24" t="s">
        <v>224</v>
      </c>
      <c r="Z4" s="24">
        <f>X4*0.05</f>
        <v>19.8005</v>
      </c>
      <c r="AA4" s="24"/>
      <c r="AB4" s="69">
        <v>4440.59</v>
      </c>
      <c r="AC4" s="69">
        <v>5172.77</v>
      </c>
      <c r="AD4" s="69">
        <v>3938.34</v>
      </c>
      <c r="AE4" s="69">
        <f t="shared" si="2"/>
        <v>-502.25</v>
      </c>
      <c r="AF4" s="69" t="s">
        <v>224</v>
      </c>
      <c r="AG4" s="69">
        <f>AD4*0.05</f>
        <v>196.917</v>
      </c>
      <c r="AH4" s="69">
        <f>AE4*0.04</f>
        <v>-20.09</v>
      </c>
      <c r="AI4" s="69">
        <f t="shared" ref="AI4:AI35" si="5">ROUND(K4+R4+Z4+AG4,0)</f>
        <v>343</v>
      </c>
      <c r="AJ4" s="69">
        <f t="shared" ref="AJ4:AJ35" si="6">ROUND(L4+S4+AA4+AH4,0)</f>
        <v>-115</v>
      </c>
    </row>
    <row r="5" s="14" customFormat="1" spans="1:36">
      <c r="A5" s="68">
        <v>3</v>
      </c>
      <c r="B5" s="68">
        <v>582</v>
      </c>
      <c r="C5" s="68" t="s">
        <v>96</v>
      </c>
      <c r="D5" s="68" t="s">
        <v>92</v>
      </c>
      <c r="E5" s="68" t="s">
        <v>93</v>
      </c>
      <c r="F5" s="69">
        <v>30</v>
      </c>
      <c r="G5" s="69">
        <v>36</v>
      </c>
      <c r="H5" s="69">
        <v>13</v>
      </c>
      <c r="I5" s="69">
        <f t="shared" si="3"/>
        <v>-17</v>
      </c>
      <c r="J5" s="69" t="s">
        <v>224</v>
      </c>
      <c r="K5" s="69">
        <f>H5*1</f>
        <v>13</v>
      </c>
      <c r="L5" s="69">
        <f>I5*1</f>
        <v>-17</v>
      </c>
      <c r="M5" s="69">
        <v>97</v>
      </c>
      <c r="N5" s="69">
        <v>126</v>
      </c>
      <c r="O5" s="69">
        <v>142</v>
      </c>
      <c r="P5" s="69">
        <f t="shared" si="0"/>
        <v>45</v>
      </c>
      <c r="Q5" s="69" t="s">
        <v>21</v>
      </c>
      <c r="R5" s="69">
        <f>O5*2.5</f>
        <v>355</v>
      </c>
      <c r="S5" s="69"/>
      <c r="T5" s="24">
        <v>4</v>
      </c>
      <c r="U5" s="24">
        <f t="shared" si="1"/>
        <v>5</v>
      </c>
      <c r="V5" s="24">
        <v>0</v>
      </c>
      <c r="W5" s="24">
        <f t="shared" si="4"/>
        <v>-4</v>
      </c>
      <c r="X5" s="24" t="str">
        <f>VLOOKUP(B:B,'[4]SQL Results'!$B$1:$P$65536,15,0)</f>
        <v/>
      </c>
      <c r="Y5" s="24" t="s">
        <v>224</v>
      </c>
      <c r="Z5" s="24"/>
      <c r="AA5" s="24">
        <f>W5*5</f>
        <v>-20</v>
      </c>
      <c r="AB5" s="69">
        <v>8942.61</v>
      </c>
      <c r="AC5" s="69">
        <v>9952.28</v>
      </c>
      <c r="AD5" s="69">
        <v>2503.35</v>
      </c>
      <c r="AE5" s="69">
        <f t="shared" si="2"/>
        <v>-6439.26</v>
      </c>
      <c r="AF5" s="69" t="s">
        <v>224</v>
      </c>
      <c r="AG5" s="69">
        <f>AD5*0.05</f>
        <v>125.1675</v>
      </c>
      <c r="AH5" s="69">
        <f>AE5*0.04</f>
        <v>-257.5704</v>
      </c>
      <c r="AI5" s="69">
        <f t="shared" si="5"/>
        <v>493</v>
      </c>
      <c r="AJ5" s="69">
        <f t="shared" si="6"/>
        <v>-295</v>
      </c>
    </row>
    <row r="6" spans="1:36">
      <c r="A6" s="68">
        <v>4</v>
      </c>
      <c r="B6" s="68">
        <v>359</v>
      </c>
      <c r="C6" s="68" t="s">
        <v>97</v>
      </c>
      <c r="D6" s="68" t="s">
        <v>95</v>
      </c>
      <c r="E6" s="68" t="s">
        <v>93</v>
      </c>
      <c r="F6" s="69">
        <v>20</v>
      </c>
      <c r="G6" s="69">
        <v>24</v>
      </c>
      <c r="H6" s="69">
        <v>22</v>
      </c>
      <c r="I6" s="69">
        <f t="shared" si="3"/>
        <v>2</v>
      </c>
      <c r="J6" s="69" t="s">
        <v>20</v>
      </c>
      <c r="K6" s="69">
        <f>H6*2.5</f>
        <v>55</v>
      </c>
      <c r="L6" s="69"/>
      <c r="M6" s="69">
        <v>167</v>
      </c>
      <c r="N6" s="69">
        <v>189</v>
      </c>
      <c r="O6" s="69">
        <v>179</v>
      </c>
      <c r="P6" s="69">
        <f t="shared" si="0"/>
        <v>12</v>
      </c>
      <c r="Q6" s="69" t="s">
        <v>20</v>
      </c>
      <c r="R6" s="69">
        <f>O6*1.5</f>
        <v>268.5</v>
      </c>
      <c r="S6" s="69"/>
      <c r="T6" s="24">
        <v>10</v>
      </c>
      <c r="U6" s="24">
        <f t="shared" si="1"/>
        <v>11</v>
      </c>
      <c r="V6" s="24">
        <v>9</v>
      </c>
      <c r="W6" s="24">
        <f t="shared" si="4"/>
        <v>-1</v>
      </c>
      <c r="X6" s="24">
        <f>VLOOKUP(B:B,'[4]SQL Results'!$B$1:$P$65536,15,0)</f>
        <v>1346.4</v>
      </c>
      <c r="Y6" s="24" t="s">
        <v>224</v>
      </c>
      <c r="Z6" s="24">
        <f>X6*0.05</f>
        <v>67.32</v>
      </c>
      <c r="AA6" s="24"/>
      <c r="AB6" s="69">
        <v>1878.01</v>
      </c>
      <c r="AC6" s="69">
        <v>2417.02</v>
      </c>
      <c r="AD6" s="69">
        <v>1896.4</v>
      </c>
      <c r="AE6" s="69">
        <f t="shared" si="2"/>
        <v>18.3900000000001</v>
      </c>
      <c r="AF6" s="69" t="s">
        <v>20</v>
      </c>
      <c r="AG6" s="69">
        <f>AD6*0.07</f>
        <v>132.748</v>
      </c>
      <c r="AH6" s="69"/>
      <c r="AI6" s="69">
        <f t="shared" si="5"/>
        <v>524</v>
      </c>
      <c r="AJ6" s="69">
        <f t="shared" si="6"/>
        <v>0</v>
      </c>
    </row>
    <row r="7" spans="1:36">
      <c r="A7" s="68">
        <v>5</v>
      </c>
      <c r="B7" s="68">
        <v>726</v>
      </c>
      <c r="C7" s="68" t="s">
        <v>98</v>
      </c>
      <c r="D7" s="68" t="s">
        <v>95</v>
      </c>
      <c r="E7" s="68" t="s">
        <v>93</v>
      </c>
      <c r="F7" s="69">
        <v>27</v>
      </c>
      <c r="G7" s="69">
        <v>32</v>
      </c>
      <c r="H7" s="69">
        <v>24</v>
      </c>
      <c r="I7" s="69">
        <f t="shared" si="3"/>
        <v>-3</v>
      </c>
      <c r="J7" s="69" t="s">
        <v>224</v>
      </c>
      <c r="K7" s="69">
        <f>H7*1</f>
        <v>24</v>
      </c>
      <c r="L7" s="69">
        <f>I7*1</f>
        <v>-3</v>
      </c>
      <c r="M7" s="69">
        <v>181</v>
      </c>
      <c r="N7" s="69">
        <v>205</v>
      </c>
      <c r="O7" s="69">
        <v>222</v>
      </c>
      <c r="P7" s="69">
        <f t="shared" si="0"/>
        <v>41</v>
      </c>
      <c r="Q7" s="69" t="s">
        <v>21</v>
      </c>
      <c r="R7" s="69">
        <f>O7*2.5</f>
        <v>555</v>
      </c>
      <c r="S7" s="69"/>
      <c r="T7" s="24">
        <v>4</v>
      </c>
      <c r="U7" s="24">
        <f t="shared" si="1"/>
        <v>5</v>
      </c>
      <c r="V7" s="24">
        <v>5</v>
      </c>
      <c r="W7" s="24">
        <f t="shared" si="4"/>
        <v>1</v>
      </c>
      <c r="X7" s="24">
        <f>VLOOKUP(B:B,'[4]SQL Results'!$B$1:$P$65536,15,0)</f>
        <v>752.4</v>
      </c>
      <c r="Y7" s="24" t="s">
        <v>21</v>
      </c>
      <c r="Z7" s="24">
        <f>X7*0.1</f>
        <v>75.24</v>
      </c>
      <c r="AA7" s="24"/>
      <c r="AB7" s="69">
        <v>9319.51</v>
      </c>
      <c r="AC7" s="69">
        <v>10397.02</v>
      </c>
      <c r="AD7" s="69">
        <v>3976.36</v>
      </c>
      <c r="AE7" s="69">
        <f t="shared" si="2"/>
        <v>-5343.15</v>
      </c>
      <c r="AF7" s="69" t="s">
        <v>224</v>
      </c>
      <c r="AG7" s="69">
        <f>AD7*0.05</f>
        <v>198.818</v>
      </c>
      <c r="AH7" s="69">
        <f>AE7*0.04</f>
        <v>-213.726</v>
      </c>
      <c r="AI7" s="69">
        <f t="shared" si="5"/>
        <v>853</v>
      </c>
      <c r="AJ7" s="69">
        <f t="shared" si="6"/>
        <v>-217</v>
      </c>
    </row>
    <row r="8" spans="1:36">
      <c r="A8" s="68">
        <v>6</v>
      </c>
      <c r="B8" s="68">
        <v>365</v>
      </c>
      <c r="C8" s="68" t="s">
        <v>99</v>
      </c>
      <c r="D8" s="68" t="s">
        <v>95</v>
      </c>
      <c r="E8" s="68" t="s">
        <v>93</v>
      </c>
      <c r="F8" s="69">
        <v>26</v>
      </c>
      <c r="G8" s="69">
        <v>31</v>
      </c>
      <c r="H8" s="69">
        <v>8</v>
      </c>
      <c r="I8" s="69">
        <f t="shared" si="3"/>
        <v>-18</v>
      </c>
      <c r="J8" s="69" t="s">
        <v>224</v>
      </c>
      <c r="K8" s="69">
        <f>H8*1</f>
        <v>8</v>
      </c>
      <c r="L8" s="69">
        <f>I8*1</f>
        <v>-18</v>
      </c>
      <c r="M8" s="69">
        <v>148</v>
      </c>
      <c r="N8" s="69">
        <v>175</v>
      </c>
      <c r="O8" s="69">
        <v>165</v>
      </c>
      <c r="P8" s="69">
        <f t="shared" si="0"/>
        <v>17</v>
      </c>
      <c r="Q8" s="69" t="s">
        <v>20</v>
      </c>
      <c r="R8" s="69">
        <f>O8*1.5</f>
        <v>247.5</v>
      </c>
      <c r="S8" s="69"/>
      <c r="T8" s="24">
        <v>6</v>
      </c>
      <c r="U8" s="24">
        <f t="shared" si="1"/>
        <v>7</v>
      </c>
      <c r="V8" s="24">
        <v>0</v>
      </c>
      <c r="W8" s="24">
        <f t="shared" si="4"/>
        <v>-6</v>
      </c>
      <c r="X8" s="24" t="str">
        <f>VLOOKUP(B:B,'[4]SQL Results'!$B$1:$P$65536,15,0)</f>
        <v/>
      </c>
      <c r="Y8" s="24" t="s">
        <v>224</v>
      </c>
      <c r="Z8" s="24"/>
      <c r="AA8" s="24">
        <f>W8*5</f>
        <v>-30</v>
      </c>
      <c r="AB8" s="69">
        <v>1323.52</v>
      </c>
      <c r="AC8" s="69">
        <v>1585.28</v>
      </c>
      <c r="AD8" s="69">
        <v>7520.14</v>
      </c>
      <c r="AE8" s="69">
        <f t="shared" si="2"/>
        <v>6196.62</v>
      </c>
      <c r="AF8" s="69" t="s">
        <v>21</v>
      </c>
      <c r="AG8" s="69">
        <f>AD8*0.09</f>
        <v>676.8126</v>
      </c>
      <c r="AH8" s="69"/>
      <c r="AI8" s="69">
        <f t="shared" si="5"/>
        <v>932</v>
      </c>
      <c r="AJ8" s="69">
        <f t="shared" si="6"/>
        <v>-48</v>
      </c>
    </row>
    <row r="9" spans="1:36">
      <c r="A9" s="68">
        <v>7</v>
      </c>
      <c r="B9" s="68">
        <v>513</v>
      </c>
      <c r="C9" s="68" t="s">
        <v>100</v>
      </c>
      <c r="D9" s="68" t="s">
        <v>95</v>
      </c>
      <c r="E9" s="68" t="s">
        <v>93</v>
      </c>
      <c r="F9" s="69">
        <v>20</v>
      </c>
      <c r="G9" s="69">
        <v>24</v>
      </c>
      <c r="H9" s="69">
        <v>25</v>
      </c>
      <c r="I9" s="69">
        <f t="shared" si="3"/>
        <v>5</v>
      </c>
      <c r="J9" s="69" t="s">
        <v>21</v>
      </c>
      <c r="K9" s="69">
        <f>H9*3.5</f>
        <v>87.5</v>
      </c>
      <c r="L9" s="69"/>
      <c r="M9" s="69">
        <v>161</v>
      </c>
      <c r="N9" s="69">
        <v>182</v>
      </c>
      <c r="O9" s="69">
        <v>119</v>
      </c>
      <c r="P9" s="69">
        <f t="shared" si="0"/>
        <v>-42</v>
      </c>
      <c r="Q9" s="69" t="s">
        <v>224</v>
      </c>
      <c r="R9" s="69">
        <f>O9*0.8</f>
        <v>95.2</v>
      </c>
      <c r="S9" s="69">
        <f>P9*0.6</f>
        <v>-25.2</v>
      </c>
      <c r="T9" s="24">
        <v>4</v>
      </c>
      <c r="U9" s="24">
        <f t="shared" si="1"/>
        <v>5</v>
      </c>
      <c r="V9" s="24">
        <v>4</v>
      </c>
      <c r="W9" s="24">
        <f t="shared" si="4"/>
        <v>0</v>
      </c>
      <c r="X9" s="24">
        <f>VLOOKUP(B:B,'[4]SQL Results'!$B$1:$P$65536,15,0)</f>
        <v>594</v>
      </c>
      <c r="Y9" s="24" t="s">
        <v>20</v>
      </c>
      <c r="Z9" s="24">
        <f>X9*0.08</f>
        <v>47.52</v>
      </c>
      <c r="AA9" s="24"/>
      <c r="AB9" s="69">
        <v>3716.99</v>
      </c>
      <c r="AC9" s="69">
        <v>4332.09</v>
      </c>
      <c r="AD9" s="69">
        <v>2895.54</v>
      </c>
      <c r="AE9" s="69">
        <f t="shared" si="2"/>
        <v>-821.45</v>
      </c>
      <c r="AF9" s="69" t="s">
        <v>224</v>
      </c>
      <c r="AG9" s="69">
        <f>AD9*0.05</f>
        <v>144.777</v>
      </c>
      <c r="AH9" s="69">
        <f>AE9*0.04</f>
        <v>-32.858</v>
      </c>
      <c r="AI9" s="69">
        <f t="shared" si="5"/>
        <v>375</v>
      </c>
      <c r="AJ9" s="69">
        <f t="shared" si="6"/>
        <v>-58</v>
      </c>
    </row>
    <row r="10" spans="1:36">
      <c r="A10" s="68">
        <v>8</v>
      </c>
      <c r="B10" s="68">
        <v>730</v>
      </c>
      <c r="C10" s="68" t="s">
        <v>101</v>
      </c>
      <c r="D10" s="68" t="s">
        <v>95</v>
      </c>
      <c r="E10" s="68" t="s">
        <v>93</v>
      </c>
      <c r="F10" s="69">
        <v>27</v>
      </c>
      <c r="G10" s="69">
        <v>32</v>
      </c>
      <c r="H10" s="69">
        <v>12</v>
      </c>
      <c r="I10" s="69">
        <f t="shared" si="3"/>
        <v>-15</v>
      </c>
      <c r="J10" s="69" t="s">
        <v>224</v>
      </c>
      <c r="K10" s="69">
        <f t="shared" ref="K10:K15" si="7">H10*1</f>
        <v>12</v>
      </c>
      <c r="L10" s="69">
        <f t="shared" ref="L10:L15" si="8">I10*1</f>
        <v>-15</v>
      </c>
      <c r="M10" s="69">
        <v>108</v>
      </c>
      <c r="N10" s="69">
        <v>127</v>
      </c>
      <c r="O10" s="69">
        <v>143</v>
      </c>
      <c r="P10" s="69">
        <f t="shared" si="0"/>
        <v>35</v>
      </c>
      <c r="Q10" s="69" t="s">
        <v>21</v>
      </c>
      <c r="R10" s="69">
        <f>O10*2.5</f>
        <v>357.5</v>
      </c>
      <c r="S10" s="69"/>
      <c r="T10" s="24">
        <v>6</v>
      </c>
      <c r="U10" s="24">
        <f t="shared" si="1"/>
        <v>7</v>
      </c>
      <c r="V10" s="24">
        <v>10</v>
      </c>
      <c r="W10" s="24">
        <f t="shared" si="4"/>
        <v>4</v>
      </c>
      <c r="X10" s="24">
        <f>VLOOKUP(B:B,'[4]SQL Results'!$B$1:$P$65536,15,0)</f>
        <v>1572</v>
      </c>
      <c r="Y10" s="24" t="s">
        <v>21</v>
      </c>
      <c r="Z10" s="24">
        <f>X10*0.1</f>
        <v>157.2</v>
      </c>
      <c r="AA10" s="24"/>
      <c r="AB10" s="69">
        <v>7934.11</v>
      </c>
      <c r="AC10" s="69">
        <v>8920.93</v>
      </c>
      <c r="AD10" s="69">
        <v>14158.99</v>
      </c>
      <c r="AE10" s="69">
        <f t="shared" si="2"/>
        <v>6224.88</v>
      </c>
      <c r="AF10" s="69" t="s">
        <v>21</v>
      </c>
      <c r="AG10" s="69">
        <f>AD10*0.09</f>
        <v>1274.3091</v>
      </c>
      <c r="AH10" s="69"/>
      <c r="AI10" s="69">
        <f t="shared" si="5"/>
        <v>1801</v>
      </c>
      <c r="AJ10" s="69">
        <f t="shared" si="6"/>
        <v>-15</v>
      </c>
    </row>
    <row r="11" spans="1:36">
      <c r="A11" s="68">
        <v>9</v>
      </c>
      <c r="B11" s="68">
        <v>585</v>
      </c>
      <c r="C11" s="68" t="s">
        <v>102</v>
      </c>
      <c r="D11" s="68" t="s">
        <v>95</v>
      </c>
      <c r="E11" s="68" t="s">
        <v>93</v>
      </c>
      <c r="F11" s="69">
        <v>25</v>
      </c>
      <c r="G11" s="69">
        <v>30</v>
      </c>
      <c r="H11" s="69">
        <v>15</v>
      </c>
      <c r="I11" s="69">
        <f t="shared" si="3"/>
        <v>-10</v>
      </c>
      <c r="J11" s="69" t="s">
        <v>224</v>
      </c>
      <c r="K11" s="69">
        <f t="shared" si="7"/>
        <v>15</v>
      </c>
      <c r="L11" s="69">
        <f t="shared" si="8"/>
        <v>-10</v>
      </c>
      <c r="M11" s="69">
        <v>194</v>
      </c>
      <c r="N11" s="69">
        <v>219</v>
      </c>
      <c r="O11" s="69">
        <v>190</v>
      </c>
      <c r="P11" s="69">
        <f t="shared" si="0"/>
        <v>-4</v>
      </c>
      <c r="Q11" s="69" t="s">
        <v>224</v>
      </c>
      <c r="R11" s="69">
        <f>O11*0.8</f>
        <v>152</v>
      </c>
      <c r="S11" s="69">
        <f>P11*0.6</f>
        <v>-2.4</v>
      </c>
      <c r="T11" s="24">
        <v>4</v>
      </c>
      <c r="U11" s="24">
        <f t="shared" si="1"/>
        <v>5</v>
      </c>
      <c r="V11" s="24">
        <v>2</v>
      </c>
      <c r="W11" s="24">
        <f t="shared" si="4"/>
        <v>-2</v>
      </c>
      <c r="X11" s="24">
        <f>VLOOKUP(B:B,'[4]SQL Results'!$B$1:$P$65536,15,0)</f>
        <v>396</v>
      </c>
      <c r="Y11" s="24" t="s">
        <v>224</v>
      </c>
      <c r="Z11" s="24">
        <f>X11*0.05</f>
        <v>19.8</v>
      </c>
      <c r="AA11" s="24"/>
      <c r="AB11" s="69">
        <v>4639.03</v>
      </c>
      <c r="AC11" s="69">
        <v>5430.74</v>
      </c>
      <c r="AD11" s="69">
        <v>3998.4</v>
      </c>
      <c r="AE11" s="69">
        <f t="shared" si="2"/>
        <v>-640.63</v>
      </c>
      <c r="AF11" s="69" t="s">
        <v>224</v>
      </c>
      <c r="AG11" s="69">
        <f>AD11*0.05</f>
        <v>199.92</v>
      </c>
      <c r="AH11" s="69">
        <f>AE11*0.04</f>
        <v>-25.6252</v>
      </c>
      <c r="AI11" s="69">
        <f t="shared" si="5"/>
        <v>387</v>
      </c>
      <c r="AJ11" s="69">
        <f t="shared" si="6"/>
        <v>-38</v>
      </c>
    </row>
    <row r="12" spans="1:36">
      <c r="A12" s="68">
        <v>10</v>
      </c>
      <c r="B12" s="68">
        <v>709</v>
      </c>
      <c r="C12" s="68" t="s">
        <v>103</v>
      </c>
      <c r="D12" s="68" t="s">
        <v>104</v>
      </c>
      <c r="E12" s="68" t="s">
        <v>93</v>
      </c>
      <c r="F12" s="69">
        <v>22</v>
      </c>
      <c r="G12" s="69">
        <v>26</v>
      </c>
      <c r="H12" s="69">
        <v>20</v>
      </c>
      <c r="I12" s="69">
        <f t="shared" si="3"/>
        <v>-2</v>
      </c>
      <c r="J12" s="69" t="s">
        <v>224</v>
      </c>
      <c r="K12" s="69">
        <f t="shared" si="7"/>
        <v>20</v>
      </c>
      <c r="L12" s="69">
        <f t="shared" si="8"/>
        <v>-2</v>
      </c>
      <c r="M12" s="69">
        <v>101</v>
      </c>
      <c r="N12" s="69">
        <v>119</v>
      </c>
      <c r="O12" s="69">
        <v>126</v>
      </c>
      <c r="P12" s="69">
        <f t="shared" si="0"/>
        <v>25</v>
      </c>
      <c r="Q12" s="69" t="s">
        <v>21</v>
      </c>
      <c r="R12" s="69">
        <f>O12*2.5</f>
        <v>315</v>
      </c>
      <c r="S12" s="69"/>
      <c r="T12" s="24">
        <v>4</v>
      </c>
      <c r="U12" s="24">
        <f t="shared" si="1"/>
        <v>5</v>
      </c>
      <c r="V12" s="24">
        <v>6</v>
      </c>
      <c r="W12" s="24">
        <f t="shared" si="4"/>
        <v>2</v>
      </c>
      <c r="X12" s="24">
        <f>VLOOKUP(B:B,'[4]SQL Results'!$B$1:$P$65536,15,0)</f>
        <v>990.01</v>
      </c>
      <c r="Y12" s="24" t="s">
        <v>21</v>
      </c>
      <c r="Z12" s="24">
        <f>X12*0.1</f>
        <v>99.001</v>
      </c>
      <c r="AA12" s="24"/>
      <c r="AB12" s="69">
        <v>3911.47</v>
      </c>
      <c r="AC12" s="69">
        <v>4584.91</v>
      </c>
      <c r="AD12" s="69">
        <v>2374.2</v>
      </c>
      <c r="AE12" s="69">
        <f t="shared" si="2"/>
        <v>-1537.27</v>
      </c>
      <c r="AF12" s="69" t="s">
        <v>224</v>
      </c>
      <c r="AG12" s="69">
        <f>AD12*0.05</f>
        <v>118.71</v>
      </c>
      <c r="AH12" s="69">
        <f>AE12*0.04</f>
        <v>-61.4908</v>
      </c>
      <c r="AI12" s="69">
        <f t="shared" si="5"/>
        <v>553</v>
      </c>
      <c r="AJ12" s="69">
        <f t="shared" si="6"/>
        <v>-63</v>
      </c>
    </row>
    <row r="13" spans="1:36">
      <c r="A13" s="68">
        <v>11</v>
      </c>
      <c r="B13" s="68">
        <v>379</v>
      </c>
      <c r="C13" s="68" t="s">
        <v>105</v>
      </c>
      <c r="D13" s="68" t="s">
        <v>104</v>
      </c>
      <c r="E13" s="68" t="s">
        <v>93</v>
      </c>
      <c r="F13" s="69">
        <v>21</v>
      </c>
      <c r="G13" s="69">
        <v>25</v>
      </c>
      <c r="H13" s="69">
        <v>1</v>
      </c>
      <c r="I13" s="69">
        <f t="shared" si="3"/>
        <v>-20</v>
      </c>
      <c r="J13" s="69" t="s">
        <v>224</v>
      </c>
      <c r="K13" s="69">
        <f t="shared" si="7"/>
        <v>1</v>
      </c>
      <c r="L13" s="69">
        <f t="shared" si="8"/>
        <v>-20</v>
      </c>
      <c r="M13" s="69">
        <v>100</v>
      </c>
      <c r="N13" s="69">
        <v>118</v>
      </c>
      <c r="O13" s="69">
        <v>118</v>
      </c>
      <c r="P13" s="69">
        <f t="shared" si="0"/>
        <v>18</v>
      </c>
      <c r="Q13" s="69" t="s">
        <v>21</v>
      </c>
      <c r="R13" s="69">
        <f>O13*2.5</f>
        <v>295</v>
      </c>
      <c r="S13" s="69"/>
      <c r="T13" s="24">
        <v>4</v>
      </c>
      <c r="U13" s="24">
        <f t="shared" si="1"/>
        <v>5</v>
      </c>
      <c r="V13" s="24">
        <v>6</v>
      </c>
      <c r="W13" s="24">
        <f t="shared" si="4"/>
        <v>2</v>
      </c>
      <c r="X13" s="24">
        <f>VLOOKUP(B:B,'[4]SQL Results'!$B$1:$P$65536,15,0)</f>
        <v>792</v>
      </c>
      <c r="Y13" s="24" t="s">
        <v>21</v>
      </c>
      <c r="Z13" s="24">
        <f>X13*0.1</f>
        <v>79.2</v>
      </c>
      <c r="AA13" s="24"/>
      <c r="AB13" s="69">
        <v>4195.33</v>
      </c>
      <c r="AC13" s="69">
        <v>4853.93</v>
      </c>
      <c r="AD13" s="69">
        <v>3871.72</v>
      </c>
      <c r="AE13" s="69">
        <f t="shared" si="2"/>
        <v>-323.61</v>
      </c>
      <c r="AF13" s="69" t="s">
        <v>224</v>
      </c>
      <c r="AG13" s="69">
        <f>AD13*0.05</f>
        <v>193.586</v>
      </c>
      <c r="AH13" s="69">
        <f>AE13*0.04</f>
        <v>-12.9444</v>
      </c>
      <c r="AI13" s="69">
        <f t="shared" si="5"/>
        <v>569</v>
      </c>
      <c r="AJ13" s="69">
        <f t="shared" si="6"/>
        <v>-33</v>
      </c>
    </row>
    <row r="14" spans="1:36">
      <c r="A14" s="68">
        <v>12</v>
      </c>
      <c r="B14" s="68">
        <v>745</v>
      </c>
      <c r="C14" s="68" t="s">
        <v>106</v>
      </c>
      <c r="D14" s="68" t="s">
        <v>107</v>
      </c>
      <c r="E14" s="68" t="s">
        <v>93</v>
      </c>
      <c r="F14" s="69">
        <v>12</v>
      </c>
      <c r="G14" s="69">
        <v>16</v>
      </c>
      <c r="H14" s="69">
        <v>3</v>
      </c>
      <c r="I14" s="69">
        <f t="shared" si="3"/>
        <v>-9</v>
      </c>
      <c r="J14" s="69" t="s">
        <v>224</v>
      </c>
      <c r="K14" s="69">
        <f t="shared" si="7"/>
        <v>3</v>
      </c>
      <c r="L14" s="69">
        <f t="shared" si="8"/>
        <v>-9</v>
      </c>
      <c r="M14" s="69">
        <v>108</v>
      </c>
      <c r="N14" s="69">
        <v>127</v>
      </c>
      <c r="O14" s="69">
        <v>114</v>
      </c>
      <c r="P14" s="69">
        <f t="shared" si="0"/>
        <v>6</v>
      </c>
      <c r="Q14" s="69" t="s">
        <v>20</v>
      </c>
      <c r="R14" s="69">
        <f>O14*1.5</f>
        <v>171</v>
      </c>
      <c r="S14" s="69"/>
      <c r="T14" s="24">
        <v>4</v>
      </c>
      <c r="U14" s="24">
        <f t="shared" si="1"/>
        <v>5</v>
      </c>
      <c r="V14" s="24">
        <v>4</v>
      </c>
      <c r="W14" s="24">
        <f t="shared" si="4"/>
        <v>0</v>
      </c>
      <c r="X14" s="24">
        <f>VLOOKUP(B:B,'[4]SQL Results'!$B$1:$P$65536,15,0)</f>
        <v>594.01</v>
      </c>
      <c r="Y14" s="24" t="s">
        <v>20</v>
      </c>
      <c r="Z14" s="24">
        <f>X14*0.08</f>
        <v>47.5208</v>
      </c>
      <c r="AA14" s="24"/>
      <c r="AB14" s="69">
        <v>1461.82</v>
      </c>
      <c r="AC14" s="69">
        <v>1792.73</v>
      </c>
      <c r="AD14" s="69">
        <v>3730.27</v>
      </c>
      <c r="AE14" s="69">
        <f t="shared" si="2"/>
        <v>2268.45</v>
      </c>
      <c r="AF14" s="69" t="s">
        <v>21</v>
      </c>
      <c r="AG14" s="69">
        <f>AD14*0.09</f>
        <v>335.7243</v>
      </c>
      <c r="AH14" s="69"/>
      <c r="AI14" s="69">
        <f t="shared" si="5"/>
        <v>557</v>
      </c>
      <c r="AJ14" s="69">
        <f t="shared" si="6"/>
        <v>-9</v>
      </c>
    </row>
    <row r="15" spans="1:36">
      <c r="A15" s="68">
        <v>13</v>
      </c>
      <c r="B15" s="68">
        <v>347</v>
      </c>
      <c r="C15" s="68" t="s">
        <v>108</v>
      </c>
      <c r="D15" s="68" t="s">
        <v>109</v>
      </c>
      <c r="E15" s="68" t="s">
        <v>93</v>
      </c>
      <c r="F15" s="69">
        <v>12</v>
      </c>
      <c r="G15" s="69">
        <v>16</v>
      </c>
      <c r="H15" s="69">
        <v>2</v>
      </c>
      <c r="I15" s="69">
        <f t="shared" si="3"/>
        <v>-10</v>
      </c>
      <c r="J15" s="69" t="s">
        <v>224</v>
      </c>
      <c r="K15" s="69">
        <f t="shared" si="7"/>
        <v>2</v>
      </c>
      <c r="L15" s="69">
        <f t="shared" si="8"/>
        <v>-10</v>
      </c>
      <c r="M15" s="69">
        <v>108</v>
      </c>
      <c r="N15" s="69">
        <v>127</v>
      </c>
      <c r="O15" s="69">
        <v>80</v>
      </c>
      <c r="P15" s="69">
        <f t="shared" si="0"/>
        <v>-28</v>
      </c>
      <c r="Q15" s="69" t="s">
        <v>224</v>
      </c>
      <c r="R15" s="69">
        <f>O15*0.8</f>
        <v>64</v>
      </c>
      <c r="S15" s="69">
        <f>P15*0.6</f>
        <v>-16.8</v>
      </c>
      <c r="T15" s="24">
        <v>4</v>
      </c>
      <c r="U15" s="24">
        <f t="shared" si="1"/>
        <v>5</v>
      </c>
      <c r="V15" s="24">
        <v>3</v>
      </c>
      <c r="W15" s="24">
        <f t="shared" si="4"/>
        <v>-1</v>
      </c>
      <c r="X15" s="24">
        <f>VLOOKUP(B:B,'[4]SQL Results'!$B$1:$P$65536,15,0)</f>
        <v>396</v>
      </c>
      <c r="Y15" s="24" t="s">
        <v>224</v>
      </c>
      <c r="Z15" s="24">
        <f>X15*0.05</f>
        <v>19.8</v>
      </c>
      <c r="AA15" s="24"/>
      <c r="AB15" s="69">
        <v>3541.53</v>
      </c>
      <c r="AC15" s="69">
        <v>4203.99</v>
      </c>
      <c r="AD15" s="69">
        <v>380.5</v>
      </c>
      <c r="AE15" s="69">
        <f t="shared" si="2"/>
        <v>-3161.03</v>
      </c>
      <c r="AF15" s="69" t="s">
        <v>224</v>
      </c>
      <c r="AG15" s="69">
        <f>AD15*0.05</f>
        <v>19.025</v>
      </c>
      <c r="AH15" s="69">
        <f>AE15*0.04</f>
        <v>-126.4412</v>
      </c>
      <c r="AI15" s="69">
        <f t="shared" si="5"/>
        <v>105</v>
      </c>
      <c r="AJ15" s="69">
        <f t="shared" si="6"/>
        <v>-153</v>
      </c>
    </row>
    <row r="16" spans="1:36">
      <c r="A16" s="68">
        <v>14</v>
      </c>
      <c r="B16" s="68">
        <v>727</v>
      </c>
      <c r="C16" s="68" t="s">
        <v>110</v>
      </c>
      <c r="D16" s="68" t="s">
        <v>107</v>
      </c>
      <c r="E16" s="68" t="s">
        <v>93</v>
      </c>
      <c r="F16" s="69">
        <v>4</v>
      </c>
      <c r="G16" s="69">
        <v>6</v>
      </c>
      <c r="H16" s="69">
        <v>4</v>
      </c>
      <c r="I16" s="69">
        <f t="shared" si="3"/>
        <v>0</v>
      </c>
      <c r="J16" s="69" t="s">
        <v>20</v>
      </c>
      <c r="K16" s="69">
        <f>H16*2.5</f>
        <v>10</v>
      </c>
      <c r="L16" s="69"/>
      <c r="M16" s="69">
        <v>72</v>
      </c>
      <c r="N16" s="69">
        <v>94</v>
      </c>
      <c r="O16" s="69">
        <v>58</v>
      </c>
      <c r="P16" s="69">
        <f t="shared" si="0"/>
        <v>-14</v>
      </c>
      <c r="Q16" s="69" t="s">
        <v>224</v>
      </c>
      <c r="R16" s="69">
        <f>O16*0.8</f>
        <v>46.4</v>
      </c>
      <c r="S16" s="69">
        <f>P16*0.6</f>
        <v>-8.4</v>
      </c>
      <c r="T16" s="24">
        <v>8</v>
      </c>
      <c r="U16" s="24">
        <f t="shared" si="1"/>
        <v>9</v>
      </c>
      <c r="V16" s="24">
        <v>2</v>
      </c>
      <c r="W16" s="24">
        <f t="shared" si="4"/>
        <v>-6</v>
      </c>
      <c r="X16" s="24">
        <f>VLOOKUP(B:B,'[4]SQL Results'!$B$1:$P$65536,15,0)</f>
        <v>396</v>
      </c>
      <c r="Y16" s="24" t="s">
        <v>224</v>
      </c>
      <c r="Z16" s="24">
        <f>X16*0.05</f>
        <v>19.8</v>
      </c>
      <c r="AA16" s="24"/>
      <c r="AB16" s="69">
        <v>3739.56</v>
      </c>
      <c r="AC16" s="69">
        <v>4361.43</v>
      </c>
      <c r="AD16" s="69">
        <v>1419.64</v>
      </c>
      <c r="AE16" s="69">
        <f t="shared" si="2"/>
        <v>-2319.92</v>
      </c>
      <c r="AF16" s="69" t="s">
        <v>224</v>
      </c>
      <c r="AG16" s="69">
        <f>AD16*0.05</f>
        <v>70.982</v>
      </c>
      <c r="AH16" s="69">
        <f>AE16*0.04</f>
        <v>-92.7968</v>
      </c>
      <c r="AI16" s="69">
        <f t="shared" si="5"/>
        <v>147</v>
      </c>
      <c r="AJ16" s="69">
        <f t="shared" si="6"/>
        <v>-101</v>
      </c>
    </row>
    <row r="17" spans="1:36">
      <c r="A17" s="68">
        <v>15</v>
      </c>
      <c r="B17" s="68">
        <v>339</v>
      </c>
      <c r="C17" s="68" t="s">
        <v>111</v>
      </c>
      <c r="D17" s="68" t="s">
        <v>109</v>
      </c>
      <c r="E17" s="68" t="s">
        <v>93</v>
      </c>
      <c r="F17" s="69">
        <v>17</v>
      </c>
      <c r="G17" s="69">
        <v>22</v>
      </c>
      <c r="H17" s="69">
        <v>1</v>
      </c>
      <c r="I17" s="69">
        <f t="shared" si="3"/>
        <v>-16</v>
      </c>
      <c r="J17" s="69" t="s">
        <v>224</v>
      </c>
      <c r="K17" s="69">
        <f>H17*1</f>
        <v>1</v>
      </c>
      <c r="L17" s="69">
        <f>I17*1</f>
        <v>-16</v>
      </c>
      <c r="M17" s="69">
        <v>76</v>
      </c>
      <c r="N17" s="69">
        <v>99</v>
      </c>
      <c r="O17" s="69">
        <v>77</v>
      </c>
      <c r="P17" s="69">
        <f t="shared" si="0"/>
        <v>1</v>
      </c>
      <c r="Q17" s="69" t="s">
        <v>20</v>
      </c>
      <c r="R17" s="69">
        <f>O17*1.5</f>
        <v>115.5</v>
      </c>
      <c r="S17" s="69"/>
      <c r="T17" s="24">
        <v>4</v>
      </c>
      <c r="U17" s="24">
        <f t="shared" si="1"/>
        <v>5</v>
      </c>
      <c r="V17" s="24">
        <v>0</v>
      </c>
      <c r="W17" s="24">
        <f t="shared" si="4"/>
        <v>-4</v>
      </c>
      <c r="X17" s="24" t="str">
        <f>VLOOKUP(B:B,'[4]SQL Results'!$B$1:$P$65536,15,0)</f>
        <v/>
      </c>
      <c r="Y17" s="24" t="s">
        <v>224</v>
      </c>
      <c r="Z17" s="24"/>
      <c r="AA17" s="24">
        <f>W17*5</f>
        <v>-20</v>
      </c>
      <c r="AB17" s="69">
        <v>4125.83</v>
      </c>
      <c r="AC17" s="69">
        <v>4763.58</v>
      </c>
      <c r="AD17" s="69">
        <v>3572.18</v>
      </c>
      <c r="AE17" s="69">
        <f t="shared" si="2"/>
        <v>-553.65</v>
      </c>
      <c r="AF17" s="69" t="s">
        <v>224</v>
      </c>
      <c r="AG17" s="69">
        <f>AD17*0.05</f>
        <v>178.609</v>
      </c>
      <c r="AH17" s="69">
        <f>AE17*0.04</f>
        <v>-22.146</v>
      </c>
      <c r="AI17" s="69">
        <f t="shared" si="5"/>
        <v>295</v>
      </c>
      <c r="AJ17" s="69">
        <f t="shared" si="6"/>
        <v>-58</v>
      </c>
    </row>
    <row r="18" spans="1:36">
      <c r="A18" s="68">
        <v>16</v>
      </c>
      <c r="B18" s="70">
        <v>752</v>
      </c>
      <c r="C18" s="70" t="s">
        <v>112</v>
      </c>
      <c r="D18" s="70" t="s">
        <v>113</v>
      </c>
      <c r="E18" s="70" t="s">
        <v>93</v>
      </c>
      <c r="F18" s="69">
        <v>4</v>
      </c>
      <c r="G18" s="69">
        <v>6</v>
      </c>
      <c r="H18" s="69">
        <v>20</v>
      </c>
      <c r="I18" s="69">
        <f t="shared" si="3"/>
        <v>16</v>
      </c>
      <c r="J18" s="69" t="s">
        <v>21</v>
      </c>
      <c r="K18" s="69">
        <f>H18*3.5</f>
        <v>70</v>
      </c>
      <c r="L18" s="69"/>
      <c r="M18" s="69">
        <v>40</v>
      </c>
      <c r="N18" s="69">
        <v>52</v>
      </c>
      <c r="O18" s="69">
        <v>60</v>
      </c>
      <c r="P18" s="69">
        <f t="shared" si="0"/>
        <v>20</v>
      </c>
      <c r="Q18" s="69" t="s">
        <v>21</v>
      </c>
      <c r="R18" s="69">
        <f>O18*2.5</f>
        <v>150</v>
      </c>
      <c r="S18" s="69"/>
      <c r="T18" s="24">
        <v>4</v>
      </c>
      <c r="U18" s="24">
        <f t="shared" si="1"/>
        <v>5</v>
      </c>
      <c r="V18" s="24">
        <v>0</v>
      </c>
      <c r="W18" s="24">
        <f t="shared" si="4"/>
        <v>-4</v>
      </c>
      <c r="X18" s="24" t="str">
        <f>VLOOKUP(B:B,'[4]SQL Results'!$B$1:$P$65536,15,0)</f>
        <v/>
      </c>
      <c r="Y18" s="24" t="s">
        <v>224</v>
      </c>
      <c r="Z18" s="24"/>
      <c r="AA18" s="24">
        <f>W18*5</f>
        <v>-20</v>
      </c>
      <c r="AB18" s="69">
        <v>1870.36</v>
      </c>
      <c r="AC18" s="69">
        <v>2405.54</v>
      </c>
      <c r="AD18" s="69">
        <v>754.83</v>
      </c>
      <c r="AE18" s="69">
        <f t="shared" si="2"/>
        <v>-1115.53</v>
      </c>
      <c r="AF18" s="69" t="s">
        <v>224</v>
      </c>
      <c r="AG18" s="69">
        <f>AD18*0.05</f>
        <v>37.7415</v>
      </c>
      <c r="AH18" s="69">
        <f>AE18*0.04</f>
        <v>-44.6212</v>
      </c>
      <c r="AI18" s="69">
        <f t="shared" si="5"/>
        <v>258</v>
      </c>
      <c r="AJ18" s="69">
        <f t="shared" si="6"/>
        <v>-65</v>
      </c>
    </row>
    <row r="19" spans="1:36">
      <c r="A19" s="68">
        <v>17</v>
      </c>
      <c r="B19" s="68">
        <v>741</v>
      </c>
      <c r="C19" s="68" t="s">
        <v>114</v>
      </c>
      <c r="D19" s="68" t="s">
        <v>113</v>
      </c>
      <c r="E19" s="68" t="s">
        <v>93</v>
      </c>
      <c r="F19" s="69">
        <v>10</v>
      </c>
      <c r="G19" s="69">
        <v>13</v>
      </c>
      <c r="H19" s="69">
        <v>12</v>
      </c>
      <c r="I19" s="69">
        <f t="shared" si="3"/>
        <v>2</v>
      </c>
      <c r="J19" s="69" t="s">
        <v>20</v>
      </c>
      <c r="K19" s="69">
        <f>H19*2.5</f>
        <v>30</v>
      </c>
      <c r="L19" s="69"/>
      <c r="M19" s="69">
        <v>81</v>
      </c>
      <c r="N19" s="69">
        <v>105</v>
      </c>
      <c r="O19" s="69">
        <v>34</v>
      </c>
      <c r="P19" s="69">
        <f t="shared" si="0"/>
        <v>-47</v>
      </c>
      <c r="Q19" s="69" t="s">
        <v>224</v>
      </c>
      <c r="R19" s="69">
        <f>O19*0.8</f>
        <v>27.2</v>
      </c>
      <c r="S19" s="69">
        <f>P19*0.6</f>
        <v>-28.2</v>
      </c>
      <c r="T19" s="24">
        <v>6</v>
      </c>
      <c r="U19" s="24">
        <f t="shared" si="1"/>
        <v>7</v>
      </c>
      <c r="V19" s="24">
        <v>0</v>
      </c>
      <c r="W19" s="24">
        <f t="shared" si="4"/>
        <v>-6</v>
      </c>
      <c r="X19" s="24" t="str">
        <f>VLOOKUP(B:B,'[4]SQL Results'!$B$1:$P$65536,15,0)</f>
        <v/>
      </c>
      <c r="Y19" s="24" t="s">
        <v>224</v>
      </c>
      <c r="Z19" s="24"/>
      <c r="AA19" s="24">
        <f>W19*5</f>
        <v>-30</v>
      </c>
      <c r="AB19" s="69">
        <v>2536</v>
      </c>
      <c r="AC19" s="69">
        <v>3150.4</v>
      </c>
      <c r="AD19" s="69">
        <v>648.21</v>
      </c>
      <c r="AE19" s="69">
        <f t="shared" si="2"/>
        <v>-1887.79</v>
      </c>
      <c r="AF19" s="69" t="s">
        <v>224</v>
      </c>
      <c r="AG19" s="69">
        <f>AD19*0.05</f>
        <v>32.4105</v>
      </c>
      <c r="AH19" s="69">
        <f>AE19*0.04</f>
        <v>-75.5116</v>
      </c>
      <c r="AI19" s="69">
        <f t="shared" si="5"/>
        <v>90</v>
      </c>
      <c r="AJ19" s="69">
        <f t="shared" si="6"/>
        <v>-134</v>
      </c>
    </row>
    <row r="20" spans="1:36">
      <c r="A20" s="68">
        <v>18</v>
      </c>
      <c r="B20" s="68">
        <v>357</v>
      </c>
      <c r="C20" s="68" t="s">
        <v>115</v>
      </c>
      <c r="D20" s="68" t="s">
        <v>104</v>
      </c>
      <c r="E20" s="68" t="s">
        <v>93</v>
      </c>
      <c r="F20" s="69">
        <v>22</v>
      </c>
      <c r="G20" s="69">
        <v>26</v>
      </c>
      <c r="H20" s="69">
        <v>13</v>
      </c>
      <c r="I20" s="69">
        <f t="shared" si="3"/>
        <v>-9</v>
      </c>
      <c r="J20" s="69" t="s">
        <v>224</v>
      </c>
      <c r="K20" s="69">
        <f>H20*1</f>
        <v>13</v>
      </c>
      <c r="L20" s="69">
        <f>I20*1</f>
        <v>-9</v>
      </c>
      <c r="M20" s="69">
        <v>54</v>
      </c>
      <c r="N20" s="69">
        <v>70</v>
      </c>
      <c r="O20" s="69">
        <v>79</v>
      </c>
      <c r="P20" s="69">
        <f t="shared" si="0"/>
        <v>25</v>
      </c>
      <c r="Q20" s="69" t="s">
        <v>21</v>
      </c>
      <c r="R20" s="69">
        <f>O20*2.5</f>
        <v>197.5</v>
      </c>
      <c r="S20" s="69"/>
      <c r="T20" s="24">
        <v>4</v>
      </c>
      <c r="U20" s="24">
        <f t="shared" si="1"/>
        <v>5</v>
      </c>
      <c r="V20" s="24">
        <v>4</v>
      </c>
      <c r="W20" s="24">
        <f t="shared" si="4"/>
        <v>0</v>
      </c>
      <c r="X20" s="24">
        <f>VLOOKUP(B:B,'[4]SQL Results'!$B$1:$P$65536,15,0)</f>
        <v>594</v>
      </c>
      <c r="Y20" s="24" t="s">
        <v>20</v>
      </c>
      <c r="Z20" s="24">
        <f>X20*0.08</f>
        <v>47.52</v>
      </c>
      <c r="AA20" s="24"/>
      <c r="AB20" s="69">
        <v>3168.29</v>
      </c>
      <c r="AC20" s="69">
        <v>3718.78</v>
      </c>
      <c r="AD20" s="69">
        <v>4889.02</v>
      </c>
      <c r="AE20" s="69">
        <f t="shared" si="2"/>
        <v>1720.73</v>
      </c>
      <c r="AF20" s="69" t="s">
        <v>21</v>
      </c>
      <c r="AG20" s="69">
        <f>AD20*0.09</f>
        <v>440.0118</v>
      </c>
      <c r="AH20" s="69"/>
      <c r="AI20" s="69">
        <f t="shared" si="5"/>
        <v>698</v>
      </c>
      <c r="AJ20" s="69">
        <f t="shared" si="6"/>
        <v>-9</v>
      </c>
    </row>
    <row r="21" spans="1:36">
      <c r="A21" s="68">
        <v>19</v>
      </c>
      <c r="B21" s="68">
        <v>570</v>
      </c>
      <c r="C21" s="68" t="s">
        <v>116</v>
      </c>
      <c r="D21" s="68" t="s">
        <v>107</v>
      </c>
      <c r="E21" s="68" t="s">
        <v>93</v>
      </c>
      <c r="F21" s="69">
        <v>18</v>
      </c>
      <c r="G21" s="69">
        <v>23</v>
      </c>
      <c r="H21" s="69">
        <v>11</v>
      </c>
      <c r="I21" s="69">
        <f t="shared" si="3"/>
        <v>-7</v>
      </c>
      <c r="J21" s="69" t="s">
        <v>224</v>
      </c>
      <c r="K21" s="69">
        <f>H21*1</f>
        <v>11</v>
      </c>
      <c r="L21" s="69">
        <f>I21*1</f>
        <v>-7</v>
      </c>
      <c r="M21" s="69">
        <v>71</v>
      </c>
      <c r="N21" s="69">
        <v>92</v>
      </c>
      <c r="O21" s="69">
        <v>84</v>
      </c>
      <c r="P21" s="69">
        <f t="shared" si="0"/>
        <v>13</v>
      </c>
      <c r="Q21" s="69" t="s">
        <v>20</v>
      </c>
      <c r="R21" s="69">
        <f>O21*1.5</f>
        <v>126</v>
      </c>
      <c r="S21" s="69"/>
      <c r="T21" s="24">
        <v>4</v>
      </c>
      <c r="U21" s="24">
        <f t="shared" si="1"/>
        <v>5</v>
      </c>
      <c r="V21" s="24">
        <v>6</v>
      </c>
      <c r="W21" s="24">
        <f t="shared" si="4"/>
        <v>2</v>
      </c>
      <c r="X21" s="24">
        <f>VLOOKUP(B:B,'[4]SQL Results'!$B$1:$P$65536,15,0)</f>
        <v>792.01</v>
      </c>
      <c r="Y21" s="24" t="s">
        <v>21</v>
      </c>
      <c r="Z21" s="24">
        <f>X21*0.1</f>
        <v>79.201</v>
      </c>
      <c r="AA21" s="24"/>
      <c r="AB21" s="69">
        <v>1905.53</v>
      </c>
      <c r="AC21" s="69">
        <v>2458.3</v>
      </c>
      <c r="AD21" s="69">
        <v>1101.25</v>
      </c>
      <c r="AE21" s="69">
        <f t="shared" si="2"/>
        <v>-804.28</v>
      </c>
      <c r="AF21" s="69" t="s">
        <v>224</v>
      </c>
      <c r="AG21" s="69">
        <f>AD21*0.05</f>
        <v>55.0625</v>
      </c>
      <c r="AH21" s="69">
        <f>AE21*0.04</f>
        <v>-32.1712</v>
      </c>
      <c r="AI21" s="69">
        <f t="shared" si="5"/>
        <v>271</v>
      </c>
      <c r="AJ21" s="69">
        <f t="shared" si="6"/>
        <v>-39</v>
      </c>
    </row>
    <row r="22" spans="1:36">
      <c r="A22" s="68">
        <v>20</v>
      </c>
      <c r="B22" s="68">
        <v>311</v>
      </c>
      <c r="C22" s="68" t="s">
        <v>117</v>
      </c>
      <c r="D22" s="68" t="s">
        <v>107</v>
      </c>
      <c r="E22" s="68" t="s">
        <v>93</v>
      </c>
      <c r="F22" s="69">
        <v>15</v>
      </c>
      <c r="G22" s="69">
        <v>20</v>
      </c>
      <c r="H22" s="69">
        <v>32</v>
      </c>
      <c r="I22" s="69">
        <f t="shared" si="3"/>
        <v>17</v>
      </c>
      <c r="J22" s="69" t="s">
        <v>21</v>
      </c>
      <c r="K22" s="69">
        <f>H22*3.5</f>
        <v>112</v>
      </c>
      <c r="L22" s="69"/>
      <c r="M22" s="69">
        <v>30</v>
      </c>
      <c r="N22" s="69">
        <v>39</v>
      </c>
      <c r="O22" s="69">
        <v>36</v>
      </c>
      <c r="P22" s="69">
        <f t="shared" si="0"/>
        <v>6</v>
      </c>
      <c r="Q22" s="69" t="s">
        <v>20</v>
      </c>
      <c r="R22" s="69">
        <f>O22*1.5</f>
        <v>54</v>
      </c>
      <c r="S22" s="69"/>
      <c r="T22" s="24">
        <v>4</v>
      </c>
      <c r="U22" s="24">
        <f t="shared" si="1"/>
        <v>5</v>
      </c>
      <c r="V22" s="24">
        <v>0</v>
      </c>
      <c r="W22" s="24">
        <f t="shared" si="4"/>
        <v>-4</v>
      </c>
      <c r="X22" s="24" t="str">
        <f>VLOOKUP(B:B,'[4]SQL Results'!$B$1:$P$65536,15,0)</f>
        <v/>
      </c>
      <c r="Y22" s="24" t="s">
        <v>224</v>
      </c>
      <c r="Z22" s="24"/>
      <c r="AA22" s="24">
        <f>W22*5</f>
        <v>-20</v>
      </c>
      <c r="AB22" s="69">
        <v>4244</v>
      </c>
      <c r="AC22" s="69">
        <v>4917.2</v>
      </c>
      <c r="AD22" s="69">
        <v>6311.5</v>
      </c>
      <c r="AE22" s="69">
        <f t="shared" si="2"/>
        <v>2067.5</v>
      </c>
      <c r="AF22" s="69" t="s">
        <v>21</v>
      </c>
      <c r="AG22" s="69">
        <f>AD22*0.09</f>
        <v>568.035</v>
      </c>
      <c r="AH22" s="69"/>
      <c r="AI22" s="69">
        <f t="shared" si="5"/>
        <v>734</v>
      </c>
      <c r="AJ22" s="69">
        <f t="shared" si="6"/>
        <v>-20</v>
      </c>
    </row>
    <row r="23" spans="1:36">
      <c r="A23" s="68">
        <v>21</v>
      </c>
      <c r="B23" s="71">
        <v>102565</v>
      </c>
      <c r="C23" s="70" t="s">
        <v>118</v>
      </c>
      <c r="D23" s="68" t="s">
        <v>109</v>
      </c>
      <c r="E23" s="68" t="s">
        <v>93</v>
      </c>
      <c r="F23" s="69">
        <v>4</v>
      </c>
      <c r="G23" s="69">
        <v>6</v>
      </c>
      <c r="H23" s="69">
        <v>7</v>
      </c>
      <c r="I23" s="69">
        <f t="shared" si="3"/>
        <v>3</v>
      </c>
      <c r="J23" s="69" t="s">
        <v>21</v>
      </c>
      <c r="K23" s="69">
        <f>H23*3.5</f>
        <v>24.5</v>
      </c>
      <c r="L23" s="69"/>
      <c r="M23" s="69">
        <v>74</v>
      </c>
      <c r="N23" s="69">
        <v>96</v>
      </c>
      <c r="O23" s="69">
        <v>137</v>
      </c>
      <c r="P23" s="69">
        <f t="shared" si="0"/>
        <v>63</v>
      </c>
      <c r="Q23" s="69" t="s">
        <v>21</v>
      </c>
      <c r="R23" s="69">
        <f>O23*2.5</f>
        <v>342.5</v>
      </c>
      <c r="S23" s="69"/>
      <c r="T23" s="24">
        <v>4</v>
      </c>
      <c r="U23" s="24">
        <f t="shared" si="1"/>
        <v>5</v>
      </c>
      <c r="V23" s="24">
        <v>0</v>
      </c>
      <c r="W23" s="24">
        <f t="shared" si="4"/>
        <v>-4</v>
      </c>
      <c r="X23" s="24" t="str">
        <f>VLOOKUP(B:B,'[4]SQL Results'!$B$1:$P$65536,15,0)</f>
        <v/>
      </c>
      <c r="Y23" s="24" t="s">
        <v>224</v>
      </c>
      <c r="Z23" s="24"/>
      <c r="AA23" s="24">
        <f>W23*5</f>
        <v>-20</v>
      </c>
      <c r="AB23" s="69">
        <v>1701.3</v>
      </c>
      <c r="AC23" s="69">
        <v>2151.95</v>
      </c>
      <c r="AD23" s="69">
        <v>1397.49</v>
      </c>
      <c r="AE23" s="69">
        <f t="shared" si="2"/>
        <v>-303.81</v>
      </c>
      <c r="AF23" s="69" t="s">
        <v>224</v>
      </c>
      <c r="AG23" s="69">
        <f>AD23*0.05</f>
        <v>69.8745</v>
      </c>
      <c r="AH23" s="69">
        <f>AE23*0.04</f>
        <v>-12.1524</v>
      </c>
      <c r="AI23" s="69">
        <f t="shared" si="5"/>
        <v>437</v>
      </c>
      <c r="AJ23" s="69">
        <f t="shared" si="6"/>
        <v>-32</v>
      </c>
    </row>
    <row r="24" spans="1:36">
      <c r="A24" s="68">
        <v>22</v>
      </c>
      <c r="B24" s="71">
        <v>103198</v>
      </c>
      <c r="C24" s="70" t="s">
        <v>119</v>
      </c>
      <c r="D24" s="68" t="s">
        <v>109</v>
      </c>
      <c r="E24" s="68" t="s">
        <v>93</v>
      </c>
      <c r="F24" s="69">
        <v>8</v>
      </c>
      <c r="G24" s="69">
        <v>11</v>
      </c>
      <c r="H24" s="69">
        <v>10</v>
      </c>
      <c r="I24" s="69">
        <f t="shared" si="3"/>
        <v>2</v>
      </c>
      <c r="J24" s="69" t="s">
        <v>20</v>
      </c>
      <c r="K24" s="69">
        <f>H24*2.5</f>
        <v>25</v>
      </c>
      <c r="L24" s="69"/>
      <c r="M24" s="69">
        <v>74</v>
      </c>
      <c r="N24" s="69">
        <v>96</v>
      </c>
      <c r="O24" s="69">
        <v>83</v>
      </c>
      <c r="P24" s="69">
        <f t="shared" si="0"/>
        <v>9</v>
      </c>
      <c r="Q24" s="69" t="s">
        <v>20</v>
      </c>
      <c r="R24" s="69">
        <f>O24*1.5</f>
        <v>124.5</v>
      </c>
      <c r="S24" s="69"/>
      <c r="T24" s="24">
        <v>6</v>
      </c>
      <c r="U24" s="24">
        <f t="shared" si="1"/>
        <v>7</v>
      </c>
      <c r="V24" s="24">
        <v>6</v>
      </c>
      <c r="W24" s="24">
        <f t="shared" si="4"/>
        <v>0</v>
      </c>
      <c r="X24" s="24">
        <f>VLOOKUP(B:B,'[4]SQL Results'!$B$1:$P$65536,15,0)</f>
        <v>792</v>
      </c>
      <c r="Y24" s="24" t="s">
        <v>20</v>
      </c>
      <c r="Z24" s="24">
        <f>X24*0.08</f>
        <v>63.36</v>
      </c>
      <c r="AA24" s="24"/>
      <c r="AB24" s="69">
        <v>1219</v>
      </c>
      <c r="AC24" s="69">
        <v>1428.5</v>
      </c>
      <c r="AD24" s="69">
        <v>1988.06</v>
      </c>
      <c r="AE24" s="69">
        <f t="shared" si="2"/>
        <v>769.06</v>
      </c>
      <c r="AF24" s="69" t="s">
        <v>21</v>
      </c>
      <c r="AG24" s="69">
        <f>AD24*0.09</f>
        <v>178.9254</v>
      </c>
      <c r="AH24" s="69"/>
      <c r="AI24" s="69">
        <f t="shared" si="5"/>
        <v>392</v>
      </c>
      <c r="AJ24" s="69">
        <f t="shared" si="6"/>
        <v>0</v>
      </c>
    </row>
    <row r="25" spans="1:36">
      <c r="A25" s="68">
        <v>23</v>
      </c>
      <c r="B25" s="71">
        <v>103199</v>
      </c>
      <c r="C25" s="70" t="s">
        <v>120</v>
      </c>
      <c r="D25" s="68" t="s">
        <v>109</v>
      </c>
      <c r="E25" s="68" t="s">
        <v>93</v>
      </c>
      <c r="F25" s="69">
        <v>4</v>
      </c>
      <c r="G25" s="69">
        <v>6</v>
      </c>
      <c r="H25" s="69">
        <v>9</v>
      </c>
      <c r="I25" s="69">
        <f t="shared" si="3"/>
        <v>5</v>
      </c>
      <c r="J25" s="69" t="s">
        <v>21</v>
      </c>
      <c r="K25" s="69">
        <f>H25*3.5</f>
        <v>31.5</v>
      </c>
      <c r="L25" s="69"/>
      <c r="M25" s="69">
        <v>74</v>
      </c>
      <c r="N25" s="69">
        <v>96</v>
      </c>
      <c r="O25" s="69">
        <v>119</v>
      </c>
      <c r="P25" s="69">
        <f t="shared" si="0"/>
        <v>45</v>
      </c>
      <c r="Q25" s="69" t="s">
        <v>21</v>
      </c>
      <c r="R25" s="69">
        <f>O25*2.5</f>
        <v>297.5</v>
      </c>
      <c r="S25" s="69"/>
      <c r="T25" s="24">
        <v>4</v>
      </c>
      <c r="U25" s="24">
        <f t="shared" si="1"/>
        <v>5</v>
      </c>
      <c r="V25" s="24">
        <v>0</v>
      </c>
      <c r="W25" s="24">
        <f t="shared" si="4"/>
        <v>-4</v>
      </c>
      <c r="X25" s="24" t="str">
        <f>VLOOKUP(B:B,'[4]SQL Results'!$B$1:$P$65536,15,0)</f>
        <v/>
      </c>
      <c r="Y25" s="24" t="s">
        <v>224</v>
      </c>
      <c r="Z25" s="24"/>
      <c r="AA25" s="24">
        <f>W25*5</f>
        <v>-20</v>
      </c>
      <c r="AB25" s="69">
        <v>1137</v>
      </c>
      <c r="AC25" s="69">
        <v>1405.5</v>
      </c>
      <c r="AD25" s="69">
        <v>989.8</v>
      </c>
      <c r="AE25" s="69">
        <f t="shared" si="2"/>
        <v>-147.2</v>
      </c>
      <c r="AF25" s="69" t="s">
        <v>224</v>
      </c>
      <c r="AG25" s="69">
        <f t="shared" ref="AG25:AG30" si="9">AD25*0.05</f>
        <v>49.49</v>
      </c>
      <c r="AH25" s="69">
        <f t="shared" ref="AH25:AH30" si="10">AE25*0.04</f>
        <v>-5.888</v>
      </c>
      <c r="AI25" s="69">
        <f t="shared" si="5"/>
        <v>378</v>
      </c>
      <c r="AJ25" s="69">
        <f t="shared" si="6"/>
        <v>-26</v>
      </c>
    </row>
    <row r="26" spans="1:36">
      <c r="A26" s="68">
        <v>24</v>
      </c>
      <c r="B26" s="71">
        <v>102934</v>
      </c>
      <c r="C26" s="70" t="s">
        <v>121</v>
      </c>
      <c r="D26" s="68" t="s">
        <v>92</v>
      </c>
      <c r="E26" s="68" t="s">
        <v>93</v>
      </c>
      <c r="F26" s="69">
        <v>20</v>
      </c>
      <c r="G26" s="69">
        <v>24</v>
      </c>
      <c r="H26" s="69">
        <v>15</v>
      </c>
      <c r="I26" s="69">
        <f t="shared" si="3"/>
        <v>-5</v>
      </c>
      <c r="J26" s="69" t="s">
        <v>224</v>
      </c>
      <c r="K26" s="69">
        <f>H26*1</f>
        <v>15</v>
      </c>
      <c r="L26" s="69">
        <f>I26*1</f>
        <v>-5</v>
      </c>
      <c r="M26" s="69">
        <v>104</v>
      </c>
      <c r="N26" s="69">
        <v>123</v>
      </c>
      <c r="O26" s="69">
        <v>126</v>
      </c>
      <c r="P26" s="69">
        <f t="shared" si="0"/>
        <v>22</v>
      </c>
      <c r="Q26" s="69" t="s">
        <v>21</v>
      </c>
      <c r="R26" s="69">
        <f>O26*2.5</f>
        <v>315</v>
      </c>
      <c r="S26" s="69"/>
      <c r="T26" s="24">
        <v>10</v>
      </c>
      <c r="U26" s="24">
        <f t="shared" si="1"/>
        <v>11</v>
      </c>
      <c r="V26" s="24">
        <v>8</v>
      </c>
      <c r="W26" s="24">
        <f t="shared" si="4"/>
        <v>-2</v>
      </c>
      <c r="X26" s="24">
        <f>VLOOKUP(B:B,'[4]SQL Results'!$B$1:$P$65536,15,0)</f>
        <v>1188.01</v>
      </c>
      <c r="Y26" s="24" t="s">
        <v>224</v>
      </c>
      <c r="Z26" s="24">
        <f>X26*0.05</f>
        <v>59.4005</v>
      </c>
      <c r="AA26" s="24"/>
      <c r="AB26" s="69">
        <v>2956</v>
      </c>
      <c r="AC26" s="69">
        <v>3638.4</v>
      </c>
      <c r="AD26" s="69">
        <v>1933.5</v>
      </c>
      <c r="AE26" s="69">
        <f t="shared" si="2"/>
        <v>-1022.5</v>
      </c>
      <c r="AF26" s="69" t="s">
        <v>224</v>
      </c>
      <c r="AG26" s="69">
        <f t="shared" si="9"/>
        <v>96.675</v>
      </c>
      <c r="AH26" s="69">
        <f t="shared" si="10"/>
        <v>-40.9</v>
      </c>
      <c r="AI26" s="69">
        <f t="shared" si="5"/>
        <v>486</v>
      </c>
      <c r="AJ26" s="69">
        <f t="shared" si="6"/>
        <v>-46</v>
      </c>
    </row>
    <row r="27" spans="1:36">
      <c r="A27" s="68">
        <v>25</v>
      </c>
      <c r="B27" s="71">
        <v>104429</v>
      </c>
      <c r="C27" s="72" t="s">
        <v>122</v>
      </c>
      <c r="D27" s="73"/>
      <c r="E27" s="73" t="s">
        <v>93</v>
      </c>
      <c r="F27" s="69">
        <v>6</v>
      </c>
      <c r="G27" s="69">
        <v>8</v>
      </c>
      <c r="H27" s="69">
        <v>0</v>
      </c>
      <c r="I27" s="69">
        <f t="shared" si="3"/>
        <v>-6</v>
      </c>
      <c r="J27" s="69" t="s">
        <v>224</v>
      </c>
      <c r="K27" s="69">
        <f>H27*1</f>
        <v>0</v>
      </c>
      <c r="L27" s="69">
        <f>I27*1</f>
        <v>-6</v>
      </c>
      <c r="M27" s="69">
        <v>40</v>
      </c>
      <c r="N27" s="69">
        <v>52</v>
      </c>
      <c r="O27" s="69">
        <v>12</v>
      </c>
      <c r="P27" s="69">
        <f t="shared" si="0"/>
        <v>-28</v>
      </c>
      <c r="Q27" s="69" t="s">
        <v>224</v>
      </c>
      <c r="R27" s="69">
        <f>O27*0.8</f>
        <v>9.6</v>
      </c>
      <c r="S27" s="69">
        <f>P27*0.6</f>
        <v>-16.8</v>
      </c>
      <c r="T27" s="24">
        <v>4</v>
      </c>
      <c r="U27" s="24">
        <f t="shared" si="1"/>
        <v>5</v>
      </c>
      <c r="V27" s="24">
        <v>0</v>
      </c>
      <c r="W27" s="24">
        <f t="shared" si="4"/>
        <v>-4</v>
      </c>
      <c r="X27" s="24" t="str">
        <f>VLOOKUP(B:B,'[4]SQL Results'!$B$1:$P$65536,15,0)</f>
        <v/>
      </c>
      <c r="Y27" s="24" t="s">
        <v>224</v>
      </c>
      <c r="Z27" s="24"/>
      <c r="AA27" s="24">
        <f>W27*5</f>
        <v>-20</v>
      </c>
      <c r="AB27" s="69">
        <v>800</v>
      </c>
      <c r="AC27" s="69">
        <v>980</v>
      </c>
      <c r="AD27" s="69">
        <v>148.9</v>
      </c>
      <c r="AE27" s="69">
        <f t="shared" si="2"/>
        <v>-651.1</v>
      </c>
      <c r="AF27" s="69" t="s">
        <v>224</v>
      </c>
      <c r="AG27" s="69">
        <f t="shared" si="9"/>
        <v>7.445</v>
      </c>
      <c r="AH27" s="69">
        <f t="shared" si="10"/>
        <v>-26.044</v>
      </c>
      <c r="AI27" s="69">
        <f t="shared" si="5"/>
        <v>17</v>
      </c>
      <c r="AJ27" s="69">
        <f t="shared" si="6"/>
        <v>-69</v>
      </c>
    </row>
    <row r="28" s="60" customFormat="1" spans="1:36">
      <c r="A28" s="68">
        <v>26</v>
      </c>
      <c r="B28" s="74">
        <v>307</v>
      </c>
      <c r="C28" s="74" t="s">
        <v>123</v>
      </c>
      <c r="D28" s="74" t="s">
        <v>124</v>
      </c>
      <c r="E28" s="74" t="s">
        <v>125</v>
      </c>
      <c r="F28" s="75">
        <v>151</v>
      </c>
      <c r="G28" s="75">
        <v>166</v>
      </c>
      <c r="H28" s="75">
        <v>158</v>
      </c>
      <c r="I28" s="69">
        <f t="shared" si="3"/>
        <v>7</v>
      </c>
      <c r="J28" s="69" t="s">
        <v>20</v>
      </c>
      <c r="K28" s="69">
        <f>H28*2.5</f>
        <v>395</v>
      </c>
      <c r="L28" s="75"/>
      <c r="M28" s="75">
        <v>540</v>
      </c>
      <c r="N28" s="75">
        <v>567</v>
      </c>
      <c r="O28" s="75">
        <v>502</v>
      </c>
      <c r="P28" s="75">
        <f t="shared" si="0"/>
        <v>-38</v>
      </c>
      <c r="Q28" s="75" t="s">
        <v>224</v>
      </c>
      <c r="R28" s="75">
        <f>O28*0.8</f>
        <v>401.6</v>
      </c>
      <c r="S28" s="75">
        <f>P28*0.6</f>
        <v>-22.8</v>
      </c>
      <c r="T28" s="78">
        <v>21</v>
      </c>
      <c r="U28" s="78">
        <f t="shared" si="1"/>
        <v>22</v>
      </c>
      <c r="V28" s="78">
        <v>17</v>
      </c>
      <c r="W28" s="24">
        <f t="shared" si="4"/>
        <v>-4</v>
      </c>
      <c r="X28" s="24">
        <f>VLOOKUP(B:B,'[4]SQL Results'!$B$1:$P$65536,15,0)</f>
        <v>2214.3</v>
      </c>
      <c r="Y28" s="24" t="s">
        <v>224</v>
      </c>
      <c r="Z28" s="24">
        <f>X28*0.05</f>
        <v>110.715</v>
      </c>
      <c r="AA28" s="78"/>
      <c r="AB28" s="75">
        <v>50818.51</v>
      </c>
      <c r="AC28" s="75">
        <v>51743.07</v>
      </c>
      <c r="AD28" s="75">
        <v>36215.03</v>
      </c>
      <c r="AE28" s="69">
        <f t="shared" si="2"/>
        <v>-14603.48</v>
      </c>
      <c r="AF28" s="69" t="s">
        <v>224</v>
      </c>
      <c r="AG28" s="69">
        <f t="shared" si="9"/>
        <v>1810.7515</v>
      </c>
      <c r="AH28" s="69">
        <f t="shared" si="10"/>
        <v>-584.1392</v>
      </c>
      <c r="AI28" s="69">
        <f t="shared" si="5"/>
        <v>2718</v>
      </c>
      <c r="AJ28" s="69">
        <f t="shared" si="6"/>
        <v>-607</v>
      </c>
    </row>
    <row r="29" spans="1:36">
      <c r="A29" s="68">
        <v>27</v>
      </c>
      <c r="B29" s="68">
        <v>712</v>
      </c>
      <c r="C29" s="68" t="s">
        <v>126</v>
      </c>
      <c r="D29" s="68" t="s">
        <v>92</v>
      </c>
      <c r="E29" s="68" t="s">
        <v>127</v>
      </c>
      <c r="F29" s="69">
        <v>24</v>
      </c>
      <c r="G29" s="69">
        <v>29</v>
      </c>
      <c r="H29" s="69">
        <v>23</v>
      </c>
      <c r="I29" s="69">
        <f t="shared" si="3"/>
        <v>-1</v>
      </c>
      <c r="J29" s="69" t="s">
        <v>224</v>
      </c>
      <c r="K29" s="69">
        <f>H29*1</f>
        <v>23</v>
      </c>
      <c r="L29" s="69">
        <f>I29*1</f>
        <v>-1</v>
      </c>
      <c r="M29" s="69">
        <v>359</v>
      </c>
      <c r="N29" s="69">
        <v>388</v>
      </c>
      <c r="O29" s="69">
        <v>303</v>
      </c>
      <c r="P29" s="69">
        <f t="shared" si="0"/>
        <v>-56</v>
      </c>
      <c r="Q29" s="69" t="s">
        <v>224</v>
      </c>
      <c r="R29" s="69">
        <f>O29*0.8</f>
        <v>242.4</v>
      </c>
      <c r="S29" s="69">
        <f>P29*0.6</f>
        <v>-33.6</v>
      </c>
      <c r="T29" s="24">
        <v>4</v>
      </c>
      <c r="U29" s="24">
        <f t="shared" si="1"/>
        <v>5</v>
      </c>
      <c r="V29" s="24">
        <v>1</v>
      </c>
      <c r="W29" s="24">
        <f t="shared" si="4"/>
        <v>-3</v>
      </c>
      <c r="X29" s="24">
        <f>VLOOKUP(B:B,'[4]SQL Results'!$B$1:$P$65536,15,0)</f>
        <v>198</v>
      </c>
      <c r="Y29" s="24" t="s">
        <v>224</v>
      </c>
      <c r="Z29" s="24">
        <f>X29*0.05</f>
        <v>9.9</v>
      </c>
      <c r="AA29" s="24"/>
      <c r="AB29" s="69">
        <v>11820.05</v>
      </c>
      <c r="AC29" s="69">
        <v>12365.65</v>
      </c>
      <c r="AD29" s="69">
        <v>8285.73</v>
      </c>
      <c r="AE29" s="69">
        <f t="shared" si="2"/>
        <v>-3534.32</v>
      </c>
      <c r="AF29" s="69" t="s">
        <v>224</v>
      </c>
      <c r="AG29" s="69">
        <f t="shared" si="9"/>
        <v>414.2865</v>
      </c>
      <c r="AH29" s="69">
        <f t="shared" si="10"/>
        <v>-141.3728</v>
      </c>
      <c r="AI29" s="69">
        <f t="shared" si="5"/>
        <v>690</v>
      </c>
      <c r="AJ29" s="69">
        <f t="shared" si="6"/>
        <v>-176</v>
      </c>
    </row>
    <row r="30" spans="1:36">
      <c r="A30" s="68">
        <v>28</v>
      </c>
      <c r="B30" s="68">
        <v>571</v>
      </c>
      <c r="C30" s="68" t="s">
        <v>128</v>
      </c>
      <c r="D30" s="68" t="s">
        <v>92</v>
      </c>
      <c r="E30" s="68" t="s">
        <v>127</v>
      </c>
      <c r="F30" s="69">
        <v>30</v>
      </c>
      <c r="G30" s="69">
        <v>36</v>
      </c>
      <c r="H30" s="69">
        <v>44</v>
      </c>
      <c r="I30" s="69">
        <f t="shared" si="3"/>
        <v>14</v>
      </c>
      <c r="J30" s="69" t="s">
        <v>21</v>
      </c>
      <c r="K30" s="69">
        <f>H30*3.5</f>
        <v>154</v>
      </c>
      <c r="L30" s="69"/>
      <c r="M30" s="69">
        <v>380</v>
      </c>
      <c r="N30" s="69">
        <v>407</v>
      </c>
      <c r="O30" s="69">
        <v>227</v>
      </c>
      <c r="P30" s="69">
        <f t="shared" si="0"/>
        <v>-153</v>
      </c>
      <c r="Q30" s="69" t="s">
        <v>224</v>
      </c>
      <c r="R30" s="69">
        <f>O30*0.8</f>
        <v>181.6</v>
      </c>
      <c r="S30" s="69">
        <f>P30*0.6</f>
        <v>-91.8</v>
      </c>
      <c r="T30" s="24">
        <v>6</v>
      </c>
      <c r="U30" s="24">
        <f t="shared" si="1"/>
        <v>7</v>
      </c>
      <c r="V30" s="24">
        <v>3</v>
      </c>
      <c r="W30" s="24">
        <f t="shared" si="4"/>
        <v>-3</v>
      </c>
      <c r="X30" s="24">
        <f>VLOOKUP(B:B,'[4]SQL Results'!$B$1:$P$65536,15,0)</f>
        <v>396</v>
      </c>
      <c r="Y30" s="24" t="s">
        <v>224</v>
      </c>
      <c r="Z30" s="24">
        <f>X30*0.05</f>
        <v>19.8</v>
      </c>
      <c r="AA30" s="24"/>
      <c r="AB30" s="69">
        <v>8338.57</v>
      </c>
      <c r="AC30" s="69">
        <v>9239.51</v>
      </c>
      <c r="AD30" s="69">
        <v>3959</v>
      </c>
      <c r="AE30" s="69">
        <f t="shared" si="2"/>
        <v>-4379.57</v>
      </c>
      <c r="AF30" s="69" t="s">
        <v>224</v>
      </c>
      <c r="AG30" s="69">
        <f t="shared" si="9"/>
        <v>197.95</v>
      </c>
      <c r="AH30" s="69">
        <f t="shared" si="10"/>
        <v>-175.1828</v>
      </c>
      <c r="AI30" s="69">
        <f t="shared" si="5"/>
        <v>553</v>
      </c>
      <c r="AJ30" s="69">
        <f t="shared" si="6"/>
        <v>-267</v>
      </c>
    </row>
    <row r="31" spans="1:36">
      <c r="A31" s="68">
        <v>29</v>
      </c>
      <c r="B31" s="68">
        <v>750</v>
      </c>
      <c r="C31" s="68" t="s">
        <v>129</v>
      </c>
      <c r="D31" s="68" t="s">
        <v>92</v>
      </c>
      <c r="E31" s="68" t="s">
        <v>127</v>
      </c>
      <c r="F31" s="69">
        <v>24</v>
      </c>
      <c r="G31" s="69">
        <v>29</v>
      </c>
      <c r="H31" s="69">
        <v>23</v>
      </c>
      <c r="I31" s="69">
        <f t="shared" si="3"/>
        <v>-1</v>
      </c>
      <c r="J31" s="69" t="s">
        <v>224</v>
      </c>
      <c r="K31" s="69">
        <f>H31*1</f>
        <v>23</v>
      </c>
      <c r="L31" s="69">
        <f>I31*1</f>
        <v>-1</v>
      </c>
      <c r="M31" s="69">
        <v>251</v>
      </c>
      <c r="N31" s="69">
        <v>274</v>
      </c>
      <c r="O31" s="69">
        <v>435</v>
      </c>
      <c r="P31" s="69">
        <f t="shared" si="0"/>
        <v>184</v>
      </c>
      <c r="Q31" s="69" t="s">
        <v>21</v>
      </c>
      <c r="R31" s="69">
        <f>O31*2.5</f>
        <v>1087.5</v>
      </c>
      <c r="S31" s="69"/>
      <c r="T31" s="24">
        <v>11</v>
      </c>
      <c r="U31" s="24">
        <f t="shared" si="1"/>
        <v>12</v>
      </c>
      <c r="V31" s="24">
        <v>1</v>
      </c>
      <c r="W31" s="24">
        <f t="shared" si="4"/>
        <v>-10</v>
      </c>
      <c r="X31" s="24">
        <f>VLOOKUP(B:B,'[4]SQL Results'!$B$1:$P$65536,15,0)</f>
        <v>186.98</v>
      </c>
      <c r="Y31" s="24" t="s">
        <v>224</v>
      </c>
      <c r="Z31" s="24">
        <f>X31*0.05</f>
        <v>9.349</v>
      </c>
      <c r="AA31" s="24"/>
      <c r="AB31" s="69">
        <v>3431.57</v>
      </c>
      <c r="AC31" s="69">
        <v>4061.04</v>
      </c>
      <c r="AD31" s="69">
        <v>4249.08</v>
      </c>
      <c r="AE31" s="69">
        <f t="shared" si="2"/>
        <v>817.51</v>
      </c>
      <c r="AF31" s="69" t="s">
        <v>21</v>
      </c>
      <c r="AG31" s="69">
        <f>AD31*0.09</f>
        <v>382.4172</v>
      </c>
      <c r="AH31" s="69"/>
      <c r="AI31" s="69">
        <f t="shared" si="5"/>
        <v>1502</v>
      </c>
      <c r="AJ31" s="69">
        <f t="shared" si="6"/>
        <v>-1</v>
      </c>
    </row>
    <row r="32" spans="1:36">
      <c r="A32" s="68">
        <v>30</v>
      </c>
      <c r="B32" s="68">
        <v>707</v>
      </c>
      <c r="C32" s="68" t="s">
        <v>130</v>
      </c>
      <c r="D32" s="68" t="s">
        <v>95</v>
      </c>
      <c r="E32" s="68" t="s">
        <v>127</v>
      </c>
      <c r="F32" s="69">
        <v>24</v>
      </c>
      <c r="G32" s="69">
        <v>29</v>
      </c>
      <c r="H32" s="69">
        <v>0</v>
      </c>
      <c r="I32" s="69">
        <f t="shared" si="3"/>
        <v>-24</v>
      </c>
      <c r="J32" s="69" t="s">
        <v>224</v>
      </c>
      <c r="K32" s="69">
        <f>H32*1</f>
        <v>0</v>
      </c>
      <c r="L32" s="69">
        <f>I32*1</f>
        <v>-24</v>
      </c>
      <c r="M32" s="69">
        <v>218</v>
      </c>
      <c r="N32" s="69">
        <v>238</v>
      </c>
      <c r="O32" s="69">
        <v>168</v>
      </c>
      <c r="P32" s="69">
        <f t="shared" si="0"/>
        <v>-50</v>
      </c>
      <c r="Q32" s="69" t="s">
        <v>224</v>
      </c>
      <c r="R32" s="69">
        <f>O32*0.8</f>
        <v>134.4</v>
      </c>
      <c r="S32" s="69">
        <f>P32*0.6</f>
        <v>-30</v>
      </c>
      <c r="T32" s="24">
        <v>4</v>
      </c>
      <c r="U32" s="24">
        <f t="shared" si="1"/>
        <v>5</v>
      </c>
      <c r="V32" s="24">
        <v>0</v>
      </c>
      <c r="W32" s="24">
        <f t="shared" si="4"/>
        <v>-4</v>
      </c>
      <c r="X32" s="24" t="str">
        <f>VLOOKUP(B:B,'[4]SQL Results'!$B$1:$P$65536,15,0)</f>
        <v/>
      </c>
      <c r="Y32" s="24" t="s">
        <v>224</v>
      </c>
      <c r="Z32" s="24"/>
      <c r="AA32" s="24">
        <f>W32*5</f>
        <v>-20</v>
      </c>
      <c r="AB32" s="69">
        <v>2953.01</v>
      </c>
      <c r="AC32" s="69">
        <v>3634.21</v>
      </c>
      <c r="AD32" s="69">
        <v>3695.8</v>
      </c>
      <c r="AE32" s="69">
        <f t="shared" si="2"/>
        <v>742.79</v>
      </c>
      <c r="AF32" s="69" t="s">
        <v>21</v>
      </c>
      <c r="AG32" s="69">
        <f>AD32*0.09</f>
        <v>332.622</v>
      </c>
      <c r="AH32" s="69"/>
      <c r="AI32" s="69">
        <f t="shared" si="5"/>
        <v>467</v>
      </c>
      <c r="AJ32" s="69">
        <f t="shared" si="6"/>
        <v>-74</v>
      </c>
    </row>
    <row r="33" spans="1:36">
      <c r="A33" s="68">
        <v>31</v>
      </c>
      <c r="B33" s="68">
        <v>387</v>
      </c>
      <c r="C33" s="68" t="s">
        <v>131</v>
      </c>
      <c r="D33" s="68" t="s">
        <v>92</v>
      </c>
      <c r="E33" s="68" t="s">
        <v>127</v>
      </c>
      <c r="F33" s="69">
        <v>20</v>
      </c>
      <c r="G33" s="69">
        <v>24</v>
      </c>
      <c r="H33" s="69">
        <v>25</v>
      </c>
      <c r="I33" s="69">
        <f t="shared" si="3"/>
        <v>5</v>
      </c>
      <c r="J33" s="69" t="s">
        <v>21</v>
      </c>
      <c r="K33" s="69">
        <f>H33*3.5</f>
        <v>87.5</v>
      </c>
      <c r="L33" s="69"/>
      <c r="M33" s="69">
        <v>288</v>
      </c>
      <c r="N33" s="69">
        <v>314</v>
      </c>
      <c r="O33" s="69">
        <v>178</v>
      </c>
      <c r="P33" s="69">
        <f t="shared" si="0"/>
        <v>-110</v>
      </c>
      <c r="Q33" s="69" t="s">
        <v>224</v>
      </c>
      <c r="R33" s="69">
        <f>O33*0.8</f>
        <v>142.4</v>
      </c>
      <c r="S33" s="69">
        <f>P33*0.6</f>
        <v>-66</v>
      </c>
      <c r="T33" s="24">
        <v>6</v>
      </c>
      <c r="U33" s="24">
        <f t="shared" si="1"/>
        <v>7</v>
      </c>
      <c r="V33" s="24">
        <v>0</v>
      </c>
      <c r="W33" s="24">
        <f t="shared" si="4"/>
        <v>-6</v>
      </c>
      <c r="X33" s="24" t="str">
        <f>VLOOKUP(B:B,'[4]SQL Results'!$B$1:$P$65536,15,0)</f>
        <v/>
      </c>
      <c r="Y33" s="24" t="s">
        <v>224</v>
      </c>
      <c r="Z33" s="24"/>
      <c r="AA33" s="24">
        <f>W33*5</f>
        <v>-30</v>
      </c>
      <c r="AB33" s="69">
        <v>3394.97</v>
      </c>
      <c r="AC33" s="69">
        <v>4013.46</v>
      </c>
      <c r="AD33" s="69">
        <v>3262.27</v>
      </c>
      <c r="AE33" s="69">
        <f t="shared" si="2"/>
        <v>-132.7</v>
      </c>
      <c r="AF33" s="69" t="s">
        <v>224</v>
      </c>
      <c r="AG33" s="69">
        <f t="shared" ref="AG33:AG40" si="11">AD33*0.05</f>
        <v>163.1135</v>
      </c>
      <c r="AH33" s="69">
        <f t="shared" ref="AH33:AH40" si="12">AE33*0.04</f>
        <v>-5.30799999999999</v>
      </c>
      <c r="AI33" s="69">
        <f t="shared" si="5"/>
        <v>393</v>
      </c>
      <c r="AJ33" s="69">
        <f t="shared" si="6"/>
        <v>-101</v>
      </c>
    </row>
    <row r="34" spans="1:36">
      <c r="A34" s="68">
        <v>32</v>
      </c>
      <c r="B34" s="68">
        <v>546</v>
      </c>
      <c r="C34" s="68" t="s">
        <v>132</v>
      </c>
      <c r="D34" s="68" t="s">
        <v>95</v>
      </c>
      <c r="E34" s="68" t="s">
        <v>127</v>
      </c>
      <c r="F34" s="69">
        <v>20</v>
      </c>
      <c r="G34" s="69">
        <v>24</v>
      </c>
      <c r="H34" s="69">
        <v>8</v>
      </c>
      <c r="I34" s="69">
        <f t="shared" si="3"/>
        <v>-12</v>
      </c>
      <c r="J34" s="69" t="s">
        <v>224</v>
      </c>
      <c r="K34" s="69">
        <f t="shared" ref="K34:K41" si="13">H34*1</f>
        <v>8</v>
      </c>
      <c r="L34" s="69">
        <f t="shared" ref="L34:L41" si="14">I34*1</f>
        <v>-12</v>
      </c>
      <c r="M34" s="69">
        <v>335</v>
      </c>
      <c r="N34" s="69">
        <v>362</v>
      </c>
      <c r="O34" s="69">
        <v>308</v>
      </c>
      <c r="P34" s="69">
        <f t="shared" si="0"/>
        <v>-27</v>
      </c>
      <c r="Q34" s="69" t="s">
        <v>224</v>
      </c>
      <c r="R34" s="69">
        <f>O34*0.8</f>
        <v>246.4</v>
      </c>
      <c r="S34" s="69">
        <f>P34*0.6</f>
        <v>-16.2</v>
      </c>
      <c r="T34" s="24">
        <v>8</v>
      </c>
      <c r="U34" s="24">
        <f t="shared" si="1"/>
        <v>9</v>
      </c>
      <c r="V34" s="24">
        <v>0</v>
      </c>
      <c r="W34" s="24">
        <f t="shared" si="4"/>
        <v>-8</v>
      </c>
      <c r="X34" s="24" t="str">
        <f>VLOOKUP(B:B,'[4]SQL Results'!$B$1:$P$65536,15,0)</f>
        <v/>
      </c>
      <c r="Y34" s="24" t="s">
        <v>224</v>
      </c>
      <c r="Z34" s="24"/>
      <c r="AA34" s="24">
        <f>W34*5</f>
        <v>-40</v>
      </c>
      <c r="AB34" s="69">
        <v>4633.55</v>
      </c>
      <c r="AC34" s="69">
        <v>5423.62</v>
      </c>
      <c r="AD34" s="69">
        <v>2351.3</v>
      </c>
      <c r="AE34" s="69">
        <f t="shared" si="2"/>
        <v>-2282.25</v>
      </c>
      <c r="AF34" s="69" t="s">
        <v>224</v>
      </c>
      <c r="AG34" s="69">
        <f t="shared" si="11"/>
        <v>117.565</v>
      </c>
      <c r="AH34" s="69">
        <f t="shared" si="12"/>
        <v>-91.29</v>
      </c>
      <c r="AI34" s="69">
        <f t="shared" si="5"/>
        <v>372</v>
      </c>
      <c r="AJ34" s="69">
        <f t="shared" si="6"/>
        <v>-159</v>
      </c>
    </row>
    <row r="35" spans="1:36">
      <c r="A35" s="68">
        <v>33</v>
      </c>
      <c r="B35" s="68">
        <v>724</v>
      </c>
      <c r="C35" s="68" t="s">
        <v>133</v>
      </c>
      <c r="D35" s="68" t="s">
        <v>95</v>
      </c>
      <c r="E35" s="68" t="s">
        <v>127</v>
      </c>
      <c r="F35" s="69">
        <v>20</v>
      </c>
      <c r="G35" s="69">
        <v>24</v>
      </c>
      <c r="H35" s="69">
        <v>13</v>
      </c>
      <c r="I35" s="69">
        <f t="shared" si="3"/>
        <v>-7</v>
      </c>
      <c r="J35" s="69" t="s">
        <v>224</v>
      </c>
      <c r="K35" s="69">
        <f t="shared" si="13"/>
        <v>13</v>
      </c>
      <c r="L35" s="69">
        <f t="shared" si="14"/>
        <v>-7</v>
      </c>
      <c r="M35" s="69">
        <v>223</v>
      </c>
      <c r="N35" s="69">
        <v>243</v>
      </c>
      <c r="O35" s="69">
        <v>185</v>
      </c>
      <c r="P35" s="69">
        <f t="shared" si="0"/>
        <v>-38</v>
      </c>
      <c r="Q35" s="69" t="s">
        <v>224</v>
      </c>
      <c r="R35" s="69">
        <f>O35*0.8</f>
        <v>148</v>
      </c>
      <c r="S35" s="69">
        <f>P35*0.6</f>
        <v>-22.8</v>
      </c>
      <c r="T35" s="24">
        <v>4</v>
      </c>
      <c r="U35" s="24">
        <f t="shared" si="1"/>
        <v>5</v>
      </c>
      <c r="V35" s="24">
        <v>0</v>
      </c>
      <c r="W35" s="24">
        <f t="shared" si="4"/>
        <v>-4</v>
      </c>
      <c r="X35" s="24" t="str">
        <f>VLOOKUP(B:B,'[4]SQL Results'!$B$1:$P$65536,15,0)</f>
        <v/>
      </c>
      <c r="Y35" s="24" t="s">
        <v>224</v>
      </c>
      <c r="Z35" s="24"/>
      <c r="AA35" s="24">
        <f>W35*5</f>
        <v>-20</v>
      </c>
      <c r="AB35" s="69">
        <v>3167.91</v>
      </c>
      <c r="AC35" s="69">
        <v>3718.28</v>
      </c>
      <c r="AD35" s="69">
        <v>2700.7</v>
      </c>
      <c r="AE35" s="69">
        <f t="shared" si="2"/>
        <v>-467.21</v>
      </c>
      <c r="AF35" s="69" t="s">
        <v>224</v>
      </c>
      <c r="AG35" s="69">
        <f t="shared" si="11"/>
        <v>135.035</v>
      </c>
      <c r="AH35" s="69">
        <f t="shared" si="12"/>
        <v>-18.6884</v>
      </c>
      <c r="AI35" s="69">
        <f t="shared" si="5"/>
        <v>296</v>
      </c>
      <c r="AJ35" s="69">
        <f t="shared" si="6"/>
        <v>-68</v>
      </c>
    </row>
    <row r="36" spans="1:36">
      <c r="A36" s="68">
        <v>34</v>
      </c>
      <c r="B36" s="68">
        <v>598</v>
      </c>
      <c r="C36" s="68" t="s">
        <v>134</v>
      </c>
      <c r="D36" s="68" t="s">
        <v>104</v>
      </c>
      <c r="E36" s="68" t="s">
        <v>127</v>
      </c>
      <c r="F36" s="69">
        <v>14</v>
      </c>
      <c r="G36" s="69">
        <v>18</v>
      </c>
      <c r="H36" s="69">
        <v>12</v>
      </c>
      <c r="I36" s="69">
        <f t="shared" ref="I36:I67" si="15">H36-F36</f>
        <v>-2</v>
      </c>
      <c r="J36" s="69" t="s">
        <v>224</v>
      </c>
      <c r="K36" s="69">
        <f t="shared" si="13"/>
        <v>12</v>
      </c>
      <c r="L36" s="69">
        <f t="shared" si="14"/>
        <v>-2</v>
      </c>
      <c r="M36" s="69">
        <v>246</v>
      </c>
      <c r="N36" s="69">
        <v>268</v>
      </c>
      <c r="O36" s="69">
        <v>268</v>
      </c>
      <c r="P36" s="69">
        <f t="shared" si="0"/>
        <v>22</v>
      </c>
      <c r="Q36" s="69" t="s">
        <v>21</v>
      </c>
      <c r="R36" s="69">
        <f>O36*2.5</f>
        <v>670</v>
      </c>
      <c r="S36" s="69"/>
      <c r="T36" s="24">
        <v>6</v>
      </c>
      <c r="U36" s="24">
        <f t="shared" si="1"/>
        <v>7</v>
      </c>
      <c r="V36" s="24">
        <v>4</v>
      </c>
      <c r="W36" s="24">
        <f t="shared" ref="W36:W67" si="16">V36-T36</f>
        <v>-2</v>
      </c>
      <c r="X36" s="24">
        <f>VLOOKUP(B:B,'[4]SQL Results'!$B$1:$P$65536,15,0)</f>
        <v>594</v>
      </c>
      <c r="Y36" s="24" t="s">
        <v>224</v>
      </c>
      <c r="Z36" s="24">
        <f>X36*0.05</f>
        <v>29.7</v>
      </c>
      <c r="AA36" s="24"/>
      <c r="AB36" s="69">
        <v>3308.58</v>
      </c>
      <c r="AC36" s="69">
        <v>3901.15</v>
      </c>
      <c r="AD36" s="69">
        <v>775.01</v>
      </c>
      <c r="AE36" s="69">
        <f t="shared" si="2"/>
        <v>-2533.57</v>
      </c>
      <c r="AF36" s="69" t="s">
        <v>224</v>
      </c>
      <c r="AG36" s="69">
        <f t="shared" si="11"/>
        <v>38.7505</v>
      </c>
      <c r="AH36" s="69">
        <f t="shared" si="12"/>
        <v>-101.3428</v>
      </c>
      <c r="AI36" s="69">
        <f t="shared" ref="AI36:AI67" si="17">ROUND(K36+R36+Z36+AG36,0)</f>
        <v>750</v>
      </c>
      <c r="AJ36" s="69">
        <f t="shared" ref="AJ36:AJ67" si="18">ROUND(L36+S36+AA36+AH36,0)</f>
        <v>-103</v>
      </c>
    </row>
    <row r="37" spans="1:36">
      <c r="A37" s="68">
        <v>35</v>
      </c>
      <c r="B37" s="68">
        <v>399</v>
      </c>
      <c r="C37" s="68" t="s">
        <v>135</v>
      </c>
      <c r="D37" s="68" t="s">
        <v>104</v>
      </c>
      <c r="E37" s="68" t="s">
        <v>127</v>
      </c>
      <c r="F37" s="69">
        <v>14</v>
      </c>
      <c r="G37" s="69">
        <v>18</v>
      </c>
      <c r="H37" s="69">
        <v>7</v>
      </c>
      <c r="I37" s="69">
        <f t="shared" si="15"/>
        <v>-7</v>
      </c>
      <c r="J37" s="69" t="s">
        <v>224</v>
      </c>
      <c r="K37" s="69">
        <f t="shared" si="13"/>
        <v>7</v>
      </c>
      <c r="L37" s="69">
        <f t="shared" si="14"/>
        <v>-7</v>
      </c>
      <c r="M37" s="69">
        <v>203</v>
      </c>
      <c r="N37" s="69">
        <v>221</v>
      </c>
      <c r="O37" s="69">
        <v>133</v>
      </c>
      <c r="P37" s="69">
        <f t="shared" si="0"/>
        <v>-70</v>
      </c>
      <c r="Q37" s="69" t="s">
        <v>224</v>
      </c>
      <c r="R37" s="69">
        <f>O37*0.8</f>
        <v>106.4</v>
      </c>
      <c r="S37" s="69">
        <f>P37*0.6</f>
        <v>-42</v>
      </c>
      <c r="T37" s="24">
        <v>4</v>
      </c>
      <c r="U37" s="24">
        <f t="shared" si="1"/>
        <v>5</v>
      </c>
      <c r="V37" s="24">
        <v>0</v>
      </c>
      <c r="W37" s="24">
        <f t="shared" si="16"/>
        <v>-4</v>
      </c>
      <c r="X37" s="24" t="str">
        <f>VLOOKUP(B:B,'[4]SQL Results'!$B$1:$P$65536,15,0)</f>
        <v/>
      </c>
      <c r="Y37" s="24" t="s">
        <v>224</v>
      </c>
      <c r="Z37" s="24"/>
      <c r="AA37" s="24">
        <f>W37*5</f>
        <v>-20</v>
      </c>
      <c r="AB37" s="69">
        <v>7080.23</v>
      </c>
      <c r="AC37" s="69">
        <v>7896.28</v>
      </c>
      <c r="AD37" s="69">
        <v>2793.61</v>
      </c>
      <c r="AE37" s="69">
        <f t="shared" si="2"/>
        <v>-4286.62</v>
      </c>
      <c r="AF37" s="69" t="s">
        <v>224</v>
      </c>
      <c r="AG37" s="69">
        <f t="shared" si="11"/>
        <v>139.6805</v>
      </c>
      <c r="AH37" s="69">
        <f t="shared" si="12"/>
        <v>-171.4648</v>
      </c>
      <c r="AI37" s="69">
        <f t="shared" si="17"/>
        <v>253</v>
      </c>
      <c r="AJ37" s="69">
        <f t="shared" si="18"/>
        <v>-240</v>
      </c>
    </row>
    <row r="38" spans="1:36">
      <c r="A38" s="68">
        <v>36</v>
      </c>
      <c r="B38" s="68">
        <v>573</v>
      </c>
      <c r="C38" s="68" t="s">
        <v>136</v>
      </c>
      <c r="D38" s="68" t="s">
        <v>107</v>
      </c>
      <c r="E38" s="68" t="s">
        <v>127</v>
      </c>
      <c r="F38" s="69">
        <v>7</v>
      </c>
      <c r="G38" s="69">
        <v>10</v>
      </c>
      <c r="H38" s="69">
        <v>4</v>
      </c>
      <c r="I38" s="69">
        <f t="shared" si="15"/>
        <v>-3</v>
      </c>
      <c r="J38" s="69" t="s">
        <v>224</v>
      </c>
      <c r="K38" s="69">
        <f t="shared" si="13"/>
        <v>4</v>
      </c>
      <c r="L38" s="69">
        <f t="shared" si="14"/>
        <v>-3</v>
      </c>
      <c r="M38" s="69">
        <v>125</v>
      </c>
      <c r="N38" s="69">
        <v>148</v>
      </c>
      <c r="O38" s="69">
        <v>105</v>
      </c>
      <c r="P38" s="69">
        <f t="shared" si="0"/>
        <v>-20</v>
      </c>
      <c r="Q38" s="69" t="s">
        <v>224</v>
      </c>
      <c r="R38" s="69">
        <f>O38*0.8</f>
        <v>84</v>
      </c>
      <c r="S38" s="69">
        <f>P38*0.6</f>
        <v>-12</v>
      </c>
      <c r="T38" s="24">
        <v>4</v>
      </c>
      <c r="U38" s="24">
        <f t="shared" si="1"/>
        <v>5</v>
      </c>
      <c r="V38" s="24">
        <v>2</v>
      </c>
      <c r="W38" s="24">
        <f t="shared" si="16"/>
        <v>-2</v>
      </c>
      <c r="X38" s="24">
        <f>VLOOKUP(B:B,'[4]SQL Results'!$B$1:$P$65536,15,0)</f>
        <v>342</v>
      </c>
      <c r="Y38" s="24" t="s">
        <v>224</v>
      </c>
      <c r="Z38" s="24">
        <f>X38*0.05</f>
        <v>17.1</v>
      </c>
      <c r="AA38" s="24"/>
      <c r="AB38" s="69">
        <v>1515.2</v>
      </c>
      <c r="AC38" s="69">
        <v>1872.8</v>
      </c>
      <c r="AD38" s="69">
        <v>961.5</v>
      </c>
      <c r="AE38" s="69">
        <f t="shared" si="2"/>
        <v>-553.7</v>
      </c>
      <c r="AF38" s="69" t="s">
        <v>224</v>
      </c>
      <c r="AG38" s="69">
        <f t="shared" si="11"/>
        <v>48.075</v>
      </c>
      <c r="AH38" s="69">
        <f t="shared" si="12"/>
        <v>-22.148</v>
      </c>
      <c r="AI38" s="69">
        <f t="shared" si="17"/>
        <v>153</v>
      </c>
      <c r="AJ38" s="69">
        <f t="shared" si="18"/>
        <v>-37</v>
      </c>
    </row>
    <row r="39" spans="1:36">
      <c r="A39" s="68">
        <v>37</v>
      </c>
      <c r="B39" s="68">
        <v>377</v>
      </c>
      <c r="C39" s="68" t="s">
        <v>137</v>
      </c>
      <c r="D39" s="68" t="s">
        <v>104</v>
      </c>
      <c r="E39" s="68" t="s">
        <v>127</v>
      </c>
      <c r="F39" s="69">
        <v>14</v>
      </c>
      <c r="G39" s="69">
        <v>18</v>
      </c>
      <c r="H39" s="69">
        <v>6</v>
      </c>
      <c r="I39" s="69">
        <f t="shared" si="15"/>
        <v>-8</v>
      </c>
      <c r="J39" s="69" t="s">
        <v>224</v>
      </c>
      <c r="K39" s="69">
        <f t="shared" si="13"/>
        <v>6</v>
      </c>
      <c r="L39" s="69">
        <f t="shared" si="14"/>
        <v>-8</v>
      </c>
      <c r="M39" s="69">
        <v>220</v>
      </c>
      <c r="N39" s="69">
        <v>240</v>
      </c>
      <c r="O39" s="69">
        <v>131</v>
      </c>
      <c r="P39" s="69">
        <f t="shared" si="0"/>
        <v>-89</v>
      </c>
      <c r="Q39" s="69" t="s">
        <v>224</v>
      </c>
      <c r="R39" s="69">
        <f>O39*0.8</f>
        <v>104.8</v>
      </c>
      <c r="S39" s="69">
        <f>P39*0.6</f>
        <v>-53.4</v>
      </c>
      <c r="T39" s="24">
        <v>10</v>
      </c>
      <c r="U39" s="24">
        <f t="shared" si="1"/>
        <v>11</v>
      </c>
      <c r="V39" s="24">
        <v>0</v>
      </c>
      <c r="W39" s="24">
        <f t="shared" si="16"/>
        <v>-10</v>
      </c>
      <c r="X39" s="24" t="str">
        <f>VLOOKUP(B:B,'[4]SQL Results'!$B$1:$P$65536,15,0)</f>
        <v/>
      </c>
      <c r="Y39" s="24" t="s">
        <v>224</v>
      </c>
      <c r="Z39" s="24"/>
      <c r="AA39" s="24">
        <f>W39*5</f>
        <v>-50</v>
      </c>
      <c r="AB39" s="69">
        <v>3125.01</v>
      </c>
      <c r="AC39" s="69">
        <v>3662.51</v>
      </c>
      <c r="AD39" s="69">
        <v>2912.5</v>
      </c>
      <c r="AE39" s="69">
        <f t="shared" si="2"/>
        <v>-212.51</v>
      </c>
      <c r="AF39" s="69" t="s">
        <v>224</v>
      </c>
      <c r="AG39" s="69">
        <f t="shared" si="11"/>
        <v>145.625</v>
      </c>
      <c r="AH39" s="69">
        <f t="shared" si="12"/>
        <v>-8.50040000000001</v>
      </c>
      <c r="AI39" s="69">
        <f t="shared" si="17"/>
        <v>256</v>
      </c>
      <c r="AJ39" s="69">
        <f t="shared" si="18"/>
        <v>-120</v>
      </c>
    </row>
    <row r="40" spans="1:36">
      <c r="A40" s="68">
        <v>38</v>
      </c>
      <c r="B40" s="68">
        <v>743</v>
      </c>
      <c r="C40" s="68" t="s">
        <v>138</v>
      </c>
      <c r="D40" s="68" t="s">
        <v>139</v>
      </c>
      <c r="E40" s="68" t="s">
        <v>127</v>
      </c>
      <c r="F40" s="69">
        <v>9</v>
      </c>
      <c r="G40" s="69">
        <v>13</v>
      </c>
      <c r="H40" s="69">
        <v>1</v>
      </c>
      <c r="I40" s="69">
        <f t="shared" si="15"/>
        <v>-8</v>
      </c>
      <c r="J40" s="69" t="s">
        <v>224</v>
      </c>
      <c r="K40" s="69">
        <f t="shared" si="13"/>
        <v>1</v>
      </c>
      <c r="L40" s="69">
        <f t="shared" si="14"/>
        <v>-8</v>
      </c>
      <c r="M40" s="69">
        <v>110</v>
      </c>
      <c r="N40" s="69">
        <v>130</v>
      </c>
      <c r="O40" s="69">
        <v>74</v>
      </c>
      <c r="P40" s="69">
        <f t="shared" si="0"/>
        <v>-36</v>
      </c>
      <c r="Q40" s="69" t="s">
        <v>224</v>
      </c>
      <c r="R40" s="69">
        <f>O40*0.8</f>
        <v>59.2</v>
      </c>
      <c r="S40" s="69">
        <f>P40*0.6</f>
        <v>-21.6</v>
      </c>
      <c r="T40" s="24">
        <v>4</v>
      </c>
      <c r="U40" s="24">
        <f t="shared" si="1"/>
        <v>5</v>
      </c>
      <c r="V40" s="24">
        <v>0</v>
      </c>
      <c r="W40" s="24">
        <f t="shared" si="16"/>
        <v>-4</v>
      </c>
      <c r="X40" s="24" t="str">
        <f>VLOOKUP(B:B,'[4]SQL Results'!$B$1:$P$65536,15,0)</f>
        <v/>
      </c>
      <c r="Y40" s="24" t="s">
        <v>224</v>
      </c>
      <c r="Z40" s="24"/>
      <c r="AA40" s="24">
        <f>W40*5</f>
        <v>-20</v>
      </c>
      <c r="AB40" s="69">
        <v>3147.02</v>
      </c>
      <c r="AC40" s="69">
        <v>3691.13</v>
      </c>
      <c r="AD40" s="69">
        <v>768</v>
      </c>
      <c r="AE40" s="69">
        <f t="shared" si="2"/>
        <v>-2379.02</v>
      </c>
      <c r="AF40" s="69" t="s">
        <v>224</v>
      </c>
      <c r="AG40" s="69">
        <f t="shared" si="11"/>
        <v>38.4</v>
      </c>
      <c r="AH40" s="69">
        <f t="shared" si="12"/>
        <v>-95.1608</v>
      </c>
      <c r="AI40" s="69">
        <f t="shared" si="17"/>
        <v>99</v>
      </c>
      <c r="AJ40" s="69">
        <f t="shared" si="18"/>
        <v>-145</v>
      </c>
    </row>
    <row r="41" spans="1:36">
      <c r="A41" s="68">
        <v>39</v>
      </c>
      <c r="B41" s="68">
        <v>584</v>
      </c>
      <c r="C41" s="68" t="s">
        <v>140</v>
      </c>
      <c r="D41" s="68" t="s">
        <v>139</v>
      </c>
      <c r="E41" s="68" t="s">
        <v>127</v>
      </c>
      <c r="F41" s="69">
        <v>4</v>
      </c>
      <c r="G41" s="69">
        <v>6</v>
      </c>
      <c r="H41" s="69">
        <v>0</v>
      </c>
      <c r="I41" s="69">
        <f t="shared" si="15"/>
        <v>-4</v>
      </c>
      <c r="J41" s="69" t="s">
        <v>224</v>
      </c>
      <c r="K41" s="69">
        <f t="shared" si="13"/>
        <v>0</v>
      </c>
      <c r="L41" s="69">
        <f t="shared" si="14"/>
        <v>-4</v>
      </c>
      <c r="M41" s="69">
        <v>74</v>
      </c>
      <c r="N41" s="69">
        <v>96</v>
      </c>
      <c r="O41" s="69">
        <v>93</v>
      </c>
      <c r="P41" s="69">
        <f t="shared" si="0"/>
        <v>19</v>
      </c>
      <c r="Q41" s="69" t="s">
        <v>20</v>
      </c>
      <c r="R41" s="69">
        <f>O41*1.5</f>
        <v>139.5</v>
      </c>
      <c r="S41" s="69"/>
      <c r="T41" s="24">
        <v>4</v>
      </c>
      <c r="U41" s="24">
        <f t="shared" si="1"/>
        <v>5</v>
      </c>
      <c r="V41" s="24">
        <v>2</v>
      </c>
      <c r="W41" s="24">
        <f t="shared" si="16"/>
        <v>-2</v>
      </c>
      <c r="X41" s="24">
        <f>VLOOKUP(B:B,'[4]SQL Results'!$B$1:$P$65536,15,0)</f>
        <v>386</v>
      </c>
      <c r="Y41" s="24" t="s">
        <v>224</v>
      </c>
      <c r="Z41" s="24">
        <f>X41*0.05</f>
        <v>19.3</v>
      </c>
      <c r="AA41" s="24"/>
      <c r="AB41" s="69">
        <v>2171.75</v>
      </c>
      <c r="AC41" s="69">
        <v>2640.45</v>
      </c>
      <c r="AD41" s="69">
        <v>3660.93</v>
      </c>
      <c r="AE41" s="69">
        <f t="shared" si="2"/>
        <v>1489.18</v>
      </c>
      <c r="AF41" s="69" t="s">
        <v>21</v>
      </c>
      <c r="AG41" s="69">
        <f>AD41*0.09</f>
        <v>329.4837</v>
      </c>
      <c r="AH41" s="69"/>
      <c r="AI41" s="69">
        <f t="shared" si="17"/>
        <v>488</v>
      </c>
      <c r="AJ41" s="69">
        <f t="shared" si="18"/>
        <v>-4</v>
      </c>
    </row>
    <row r="42" spans="1:36">
      <c r="A42" s="68">
        <v>40</v>
      </c>
      <c r="B42" s="68">
        <v>737</v>
      </c>
      <c r="C42" s="68" t="s">
        <v>141</v>
      </c>
      <c r="D42" s="68" t="s">
        <v>107</v>
      </c>
      <c r="E42" s="68" t="s">
        <v>127</v>
      </c>
      <c r="F42" s="69">
        <v>10</v>
      </c>
      <c r="G42" s="69">
        <v>13</v>
      </c>
      <c r="H42" s="69">
        <v>14</v>
      </c>
      <c r="I42" s="69">
        <f t="shared" si="15"/>
        <v>4</v>
      </c>
      <c r="J42" s="69" t="s">
        <v>21</v>
      </c>
      <c r="K42" s="69">
        <f>H42*3.5</f>
        <v>49</v>
      </c>
      <c r="L42" s="69"/>
      <c r="M42" s="69">
        <v>179</v>
      </c>
      <c r="N42" s="69">
        <v>202</v>
      </c>
      <c r="O42" s="69">
        <v>162</v>
      </c>
      <c r="P42" s="69">
        <f t="shared" si="0"/>
        <v>-17</v>
      </c>
      <c r="Q42" s="69" t="s">
        <v>224</v>
      </c>
      <c r="R42" s="69">
        <f>O42*0.8</f>
        <v>129.6</v>
      </c>
      <c r="S42" s="69">
        <f>P42*0.6</f>
        <v>-10.2</v>
      </c>
      <c r="T42" s="24">
        <v>18</v>
      </c>
      <c r="U42" s="24">
        <f t="shared" si="1"/>
        <v>19</v>
      </c>
      <c r="V42" s="24">
        <v>12</v>
      </c>
      <c r="W42" s="24">
        <f t="shared" si="16"/>
        <v>-6</v>
      </c>
      <c r="X42" s="24">
        <f>VLOOKUP(B:B,'[4]SQL Results'!$B$1:$P$65536,15,0)</f>
        <v>1793.6</v>
      </c>
      <c r="Y42" s="24" t="s">
        <v>224</v>
      </c>
      <c r="Z42" s="24">
        <f>X42*0.05</f>
        <v>89.68</v>
      </c>
      <c r="AA42" s="24"/>
      <c r="AB42" s="69">
        <v>3054.72</v>
      </c>
      <c r="AC42" s="69">
        <v>3571.14</v>
      </c>
      <c r="AD42" s="69">
        <v>1162</v>
      </c>
      <c r="AE42" s="69">
        <f t="shared" si="2"/>
        <v>-1892.72</v>
      </c>
      <c r="AF42" s="69" t="s">
        <v>224</v>
      </c>
      <c r="AG42" s="69">
        <f>AD42*0.05</f>
        <v>58.1</v>
      </c>
      <c r="AH42" s="69">
        <f>AE42*0.04</f>
        <v>-75.7088</v>
      </c>
      <c r="AI42" s="69">
        <f t="shared" si="17"/>
        <v>326</v>
      </c>
      <c r="AJ42" s="69">
        <f t="shared" si="18"/>
        <v>-86</v>
      </c>
    </row>
    <row r="43" spans="1:36">
      <c r="A43" s="68">
        <v>41</v>
      </c>
      <c r="B43" s="68">
        <v>733</v>
      </c>
      <c r="C43" s="68" t="s">
        <v>142</v>
      </c>
      <c r="D43" s="68" t="s">
        <v>139</v>
      </c>
      <c r="E43" s="68" t="s">
        <v>127</v>
      </c>
      <c r="F43" s="69">
        <v>6</v>
      </c>
      <c r="G43" s="69">
        <v>8</v>
      </c>
      <c r="H43" s="69">
        <v>5</v>
      </c>
      <c r="I43" s="69">
        <f t="shared" si="15"/>
        <v>-1</v>
      </c>
      <c r="J43" s="69" t="s">
        <v>224</v>
      </c>
      <c r="K43" s="69">
        <f>H43*1</f>
        <v>5</v>
      </c>
      <c r="L43" s="69">
        <f>I43*1</f>
        <v>-1</v>
      </c>
      <c r="M43" s="69">
        <v>51</v>
      </c>
      <c r="N43" s="69">
        <v>66</v>
      </c>
      <c r="O43" s="69">
        <v>34</v>
      </c>
      <c r="P43" s="69">
        <f t="shared" si="0"/>
        <v>-17</v>
      </c>
      <c r="Q43" s="69" t="s">
        <v>224</v>
      </c>
      <c r="R43" s="69">
        <f>O43*0.8</f>
        <v>27.2</v>
      </c>
      <c r="S43" s="69">
        <f>P43*0.6</f>
        <v>-10.2</v>
      </c>
      <c r="T43" s="24">
        <v>4</v>
      </c>
      <c r="U43" s="24">
        <f t="shared" si="1"/>
        <v>5</v>
      </c>
      <c r="V43" s="24">
        <v>0</v>
      </c>
      <c r="W43" s="24">
        <f t="shared" si="16"/>
        <v>-4</v>
      </c>
      <c r="X43" s="24" t="str">
        <f>VLOOKUP(B:B,'[4]SQL Results'!$B$1:$P$65536,15,0)</f>
        <v/>
      </c>
      <c r="Y43" s="24" t="s">
        <v>224</v>
      </c>
      <c r="Z43" s="24"/>
      <c r="AA43" s="24">
        <f>W43*5</f>
        <v>-20</v>
      </c>
      <c r="AB43" s="69">
        <v>408.91</v>
      </c>
      <c r="AC43" s="69">
        <v>554.26</v>
      </c>
      <c r="AD43" s="69">
        <v>739.66</v>
      </c>
      <c r="AE43" s="69">
        <f t="shared" si="2"/>
        <v>330.75</v>
      </c>
      <c r="AF43" s="69" t="s">
        <v>21</v>
      </c>
      <c r="AG43" s="69">
        <f>AD43*0.09</f>
        <v>66.5694</v>
      </c>
      <c r="AH43" s="69"/>
      <c r="AI43" s="69">
        <f t="shared" si="17"/>
        <v>99</v>
      </c>
      <c r="AJ43" s="69">
        <f t="shared" si="18"/>
        <v>-31</v>
      </c>
    </row>
    <row r="44" spans="1:36">
      <c r="A44" s="68">
        <v>42</v>
      </c>
      <c r="B44" s="68">
        <v>740</v>
      </c>
      <c r="C44" s="68" t="s">
        <v>143</v>
      </c>
      <c r="D44" s="68" t="s">
        <v>113</v>
      </c>
      <c r="E44" s="68" t="s">
        <v>127</v>
      </c>
      <c r="F44" s="69">
        <v>6</v>
      </c>
      <c r="G44" s="69">
        <v>8</v>
      </c>
      <c r="H44" s="69">
        <v>3</v>
      </c>
      <c r="I44" s="69">
        <f t="shared" si="15"/>
        <v>-3</v>
      </c>
      <c r="J44" s="69" t="s">
        <v>224</v>
      </c>
      <c r="K44" s="69">
        <f>H44*1</f>
        <v>3</v>
      </c>
      <c r="L44" s="69">
        <f>I44*1</f>
        <v>-3</v>
      </c>
      <c r="M44" s="69">
        <v>75</v>
      </c>
      <c r="N44" s="69">
        <v>98</v>
      </c>
      <c r="O44" s="69">
        <v>82</v>
      </c>
      <c r="P44" s="69">
        <f t="shared" si="0"/>
        <v>7</v>
      </c>
      <c r="Q44" s="69" t="s">
        <v>20</v>
      </c>
      <c r="R44" s="69">
        <f>O44*1.5</f>
        <v>123</v>
      </c>
      <c r="S44" s="69"/>
      <c r="T44" s="24">
        <v>4</v>
      </c>
      <c r="U44" s="24">
        <f t="shared" si="1"/>
        <v>5</v>
      </c>
      <c r="V44" s="24">
        <v>1</v>
      </c>
      <c r="W44" s="24">
        <f t="shared" si="16"/>
        <v>-3</v>
      </c>
      <c r="X44" s="24">
        <f>VLOOKUP(B:B,'[4]SQL Results'!$B$1:$P$65536,15,0)</f>
        <v>178.2</v>
      </c>
      <c r="Y44" s="24" t="s">
        <v>224</v>
      </c>
      <c r="Z44" s="24">
        <f>X44*0.05</f>
        <v>8.91</v>
      </c>
      <c r="AA44" s="24"/>
      <c r="AB44" s="69">
        <v>5507.06</v>
      </c>
      <c r="AC44" s="69">
        <v>6108.47</v>
      </c>
      <c r="AD44" s="69">
        <v>3131</v>
      </c>
      <c r="AE44" s="69">
        <f t="shared" si="2"/>
        <v>-2376.06</v>
      </c>
      <c r="AF44" s="69" t="s">
        <v>224</v>
      </c>
      <c r="AG44" s="69">
        <f>AD44*0.05</f>
        <v>156.55</v>
      </c>
      <c r="AH44" s="69">
        <f>AE44*0.04</f>
        <v>-95.0424</v>
      </c>
      <c r="AI44" s="69">
        <f t="shared" si="17"/>
        <v>291</v>
      </c>
      <c r="AJ44" s="69">
        <f t="shared" si="18"/>
        <v>-98</v>
      </c>
    </row>
    <row r="45" spans="1:36">
      <c r="A45" s="68">
        <v>43</v>
      </c>
      <c r="B45" s="68">
        <v>545</v>
      </c>
      <c r="C45" s="68" t="s">
        <v>144</v>
      </c>
      <c r="D45" s="68" t="s">
        <v>113</v>
      </c>
      <c r="E45" s="68" t="s">
        <v>127</v>
      </c>
      <c r="F45" s="69">
        <v>12</v>
      </c>
      <c r="G45" s="69">
        <v>16</v>
      </c>
      <c r="H45" s="69">
        <v>21</v>
      </c>
      <c r="I45" s="69">
        <f t="shared" si="15"/>
        <v>9</v>
      </c>
      <c r="J45" s="69" t="s">
        <v>21</v>
      </c>
      <c r="K45" s="69">
        <f>H45*3.5</f>
        <v>73.5</v>
      </c>
      <c r="L45" s="69"/>
      <c r="M45" s="69">
        <v>101</v>
      </c>
      <c r="N45" s="69">
        <v>119</v>
      </c>
      <c r="O45" s="69">
        <v>101</v>
      </c>
      <c r="P45" s="69">
        <f t="shared" si="0"/>
        <v>0</v>
      </c>
      <c r="Q45" s="69" t="s">
        <v>20</v>
      </c>
      <c r="R45" s="69">
        <f>O45*1.5</f>
        <v>151.5</v>
      </c>
      <c r="S45" s="69"/>
      <c r="T45" s="24">
        <v>6</v>
      </c>
      <c r="U45" s="24">
        <f t="shared" si="1"/>
        <v>7</v>
      </c>
      <c r="V45" s="24">
        <v>0</v>
      </c>
      <c r="W45" s="24">
        <f t="shared" si="16"/>
        <v>-6</v>
      </c>
      <c r="X45" s="24" t="str">
        <f>VLOOKUP(B:B,'[4]SQL Results'!$B$1:$P$65536,15,0)</f>
        <v/>
      </c>
      <c r="Y45" s="24" t="s">
        <v>224</v>
      </c>
      <c r="Z45" s="24"/>
      <c r="AA45" s="24">
        <f t="shared" ref="AA45:AA50" si="19">W45*5</f>
        <v>-30</v>
      </c>
      <c r="AB45" s="69">
        <v>2822</v>
      </c>
      <c r="AC45" s="69">
        <v>3450.8</v>
      </c>
      <c r="AD45" s="69">
        <v>4393.2</v>
      </c>
      <c r="AE45" s="69">
        <f t="shared" si="2"/>
        <v>1571.2</v>
      </c>
      <c r="AF45" s="69" t="s">
        <v>21</v>
      </c>
      <c r="AG45" s="69">
        <f>AD45*0.09</f>
        <v>395.388</v>
      </c>
      <c r="AH45" s="69"/>
      <c r="AI45" s="69">
        <f t="shared" si="17"/>
        <v>620</v>
      </c>
      <c r="AJ45" s="69">
        <f t="shared" si="18"/>
        <v>-30</v>
      </c>
    </row>
    <row r="46" spans="1:36">
      <c r="A46" s="68">
        <v>44</v>
      </c>
      <c r="B46" s="70">
        <v>753</v>
      </c>
      <c r="C46" s="70" t="s">
        <v>145</v>
      </c>
      <c r="D46" s="70" t="s">
        <v>113</v>
      </c>
      <c r="E46" s="70" t="s">
        <v>127</v>
      </c>
      <c r="F46" s="69">
        <v>4</v>
      </c>
      <c r="G46" s="69">
        <v>6</v>
      </c>
      <c r="H46" s="69">
        <v>3</v>
      </c>
      <c r="I46" s="69">
        <f t="shared" si="15"/>
        <v>-1</v>
      </c>
      <c r="J46" s="69" t="s">
        <v>224</v>
      </c>
      <c r="K46" s="69">
        <f>H46*1</f>
        <v>3</v>
      </c>
      <c r="L46" s="69">
        <f>I46*1</f>
        <v>-1</v>
      </c>
      <c r="M46" s="69">
        <v>40</v>
      </c>
      <c r="N46" s="69">
        <v>52</v>
      </c>
      <c r="O46" s="69">
        <v>49</v>
      </c>
      <c r="P46" s="69">
        <f t="shared" si="0"/>
        <v>9</v>
      </c>
      <c r="Q46" s="69" t="s">
        <v>20</v>
      </c>
      <c r="R46" s="69">
        <f>O46*1.5</f>
        <v>73.5</v>
      </c>
      <c r="S46" s="69"/>
      <c r="T46" s="24">
        <v>4</v>
      </c>
      <c r="U46" s="24">
        <f t="shared" si="1"/>
        <v>5</v>
      </c>
      <c r="V46" s="24">
        <v>0</v>
      </c>
      <c r="W46" s="24">
        <f t="shared" si="16"/>
        <v>-4</v>
      </c>
      <c r="X46" s="24" t="str">
        <f>VLOOKUP(B:B,'[4]SQL Results'!$B$1:$P$65536,15,0)</f>
        <v/>
      </c>
      <c r="Y46" s="24" t="s">
        <v>224</v>
      </c>
      <c r="Z46" s="24"/>
      <c r="AA46" s="24">
        <f t="shared" si="19"/>
        <v>-20</v>
      </c>
      <c r="AB46" s="69">
        <v>1181.5</v>
      </c>
      <c r="AC46" s="69">
        <v>1472.25</v>
      </c>
      <c r="AD46" s="69">
        <v>824.3</v>
      </c>
      <c r="AE46" s="69">
        <f t="shared" si="2"/>
        <v>-357.2</v>
      </c>
      <c r="AF46" s="69" t="s">
        <v>224</v>
      </c>
      <c r="AG46" s="69">
        <f>AD46*0.05</f>
        <v>41.215</v>
      </c>
      <c r="AH46" s="69">
        <f>AE46*0.04</f>
        <v>-14.288</v>
      </c>
      <c r="AI46" s="69">
        <f t="shared" si="17"/>
        <v>118</v>
      </c>
      <c r="AJ46" s="69">
        <f t="shared" si="18"/>
        <v>-35</v>
      </c>
    </row>
    <row r="47" spans="1:36">
      <c r="A47" s="68">
        <v>45</v>
      </c>
      <c r="B47" s="71">
        <v>103639</v>
      </c>
      <c r="C47" s="70" t="s">
        <v>146</v>
      </c>
      <c r="D47" s="68" t="s">
        <v>109</v>
      </c>
      <c r="E47" s="68" t="s">
        <v>127</v>
      </c>
      <c r="F47" s="69">
        <v>10</v>
      </c>
      <c r="G47" s="69">
        <v>13</v>
      </c>
      <c r="H47" s="69">
        <v>8</v>
      </c>
      <c r="I47" s="69">
        <f t="shared" si="15"/>
        <v>-2</v>
      </c>
      <c r="J47" s="69" t="s">
        <v>224</v>
      </c>
      <c r="K47" s="69">
        <f>H47*1</f>
        <v>8</v>
      </c>
      <c r="L47" s="69">
        <f>I47*1</f>
        <v>-2</v>
      </c>
      <c r="M47" s="69">
        <v>74</v>
      </c>
      <c r="N47" s="69">
        <v>96</v>
      </c>
      <c r="O47" s="69">
        <v>123</v>
      </c>
      <c r="P47" s="69">
        <f t="shared" si="0"/>
        <v>49</v>
      </c>
      <c r="Q47" s="69" t="s">
        <v>21</v>
      </c>
      <c r="R47" s="69">
        <f>O47*2.5</f>
        <v>307.5</v>
      </c>
      <c r="S47" s="69"/>
      <c r="T47" s="24">
        <v>4</v>
      </c>
      <c r="U47" s="24">
        <f t="shared" si="1"/>
        <v>5</v>
      </c>
      <c r="V47" s="24">
        <v>0</v>
      </c>
      <c r="W47" s="24">
        <f t="shared" si="16"/>
        <v>-4</v>
      </c>
      <c r="X47" s="24" t="str">
        <f>VLOOKUP(B:B,'[4]SQL Results'!$B$1:$P$65536,15,0)</f>
        <v/>
      </c>
      <c r="Y47" s="24" t="s">
        <v>224</v>
      </c>
      <c r="Z47" s="24"/>
      <c r="AA47" s="24">
        <f t="shared" si="19"/>
        <v>-20</v>
      </c>
      <c r="AB47" s="69">
        <v>1219</v>
      </c>
      <c r="AC47" s="69">
        <v>1428.5</v>
      </c>
      <c r="AD47" s="69">
        <v>1362.53</v>
      </c>
      <c r="AE47" s="69">
        <f t="shared" si="2"/>
        <v>143.53</v>
      </c>
      <c r="AF47" s="69" t="s">
        <v>20</v>
      </c>
      <c r="AG47" s="69">
        <f>AD47*0.07</f>
        <v>95.3771</v>
      </c>
      <c r="AH47" s="69"/>
      <c r="AI47" s="69">
        <f t="shared" si="17"/>
        <v>411</v>
      </c>
      <c r="AJ47" s="69">
        <f t="shared" si="18"/>
        <v>-22</v>
      </c>
    </row>
    <row r="48" spans="1:36">
      <c r="A48" s="68">
        <v>46</v>
      </c>
      <c r="B48" s="71">
        <v>104430</v>
      </c>
      <c r="C48" s="72" t="s">
        <v>147</v>
      </c>
      <c r="D48" s="73"/>
      <c r="E48" s="73" t="s">
        <v>127</v>
      </c>
      <c r="F48" s="69">
        <v>4</v>
      </c>
      <c r="G48" s="69">
        <v>6</v>
      </c>
      <c r="H48" s="69">
        <v>0</v>
      </c>
      <c r="I48" s="69">
        <f t="shared" si="15"/>
        <v>-4</v>
      </c>
      <c r="J48" s="69" t="s">
        <v>224</v>
      </c>
      <c r="K48" s="69">
        <f>H48*1</f>
        <v>0</v>
      </c>
      <c r="L48" s="69">
        <f>I48*1</f>
        <v>-4</v>
      </c>
      <c r="M48" s="69">
        <v>40</v>
      </c>
      <c r="N48" s="69">
        <v>52</v>
      </c>
      <c r="O48" s="69">
        <v>55</v>
      </c>
      <c r="P48" s="69">
        <f t="shared" si="0"/>
        <v>15</v>
      </c>
      <c r="Q48" s="69" t="s">
        <v>21</v>
      </c>
      <c r="R48" s="69">
        <f>O48*2.5</f>
        <v>137.5</v>
      </c>
      <c r="S48" s="69"/>
      <c r="T48" s="24">
        <v>4</v>
      </c>
      <c r="U48" s="24">
        <f t="shared" ref="U48:U67" si="20">T48+1</f>
        <v>5</v>
      </c>
      <c r="V48" s="24">
        <v>0</v>
      </c>
      <c r="W48" s="24">
        <f t="shared" si="16"/>
        <v>-4</v>
      </c>
      <c r="X48" s="24" t="str">
        <f>VLOOKUP(B:B,'[4]SQL Results'!$B$1:$P$65536,15,0)</f>
        <v/>
      </c>
      <c r="Y48" s="24" t="s">
        <v>224</v>
      </c>
      <c r="Z48" s="24"/>
      <c r="AA48" s="24">
        <f t="shared" si="19"/>
        <v>-20</v>
      </c>
      <c r="AB48" s="69">
        <v>800</v>
      </c>
      <c r="AC48" s="69">
        <v>980</v>
      </c>
      <c r="AD48" s="69">
        <v>713</v>
      </c>
      <c r="AE48" s="69">
        <f t="shared" si="2"/>
        <v>-87</v>
      </c>
      <c r="AF48" s="69" t="s">
        <v>224</v>
      </c>
      <c r="AG48" s="69">
        <f>AD48*0.05</f>
        <v>35.65</v>
      </c>
      <c r="AH48" s="69">
        <f>AE48*0.04</f>
        <v>-3.48</v>
      </c>
      <c r="AI48" s="69">
        <f t="shared" si="17"/>
        <v>173</v>
      </c>
      <c r="AJ48" s="69">
        <f t="shared" si="18"/>
        <v>-27</v>
      </c>
    </row>
    <row r="49" spans="1:36">
      <c r="A49" s="68">
        <v>47</v>
      </c>
      <c r="B49" s="68">
        <v>578</v>
      </c>
      <c r="C49" s="68" t="s">
        <v>148</v>
      </c>
      <c r="D49" s="68" t="s">
        <v>95</v>
      </c>
      <c r="E49" s="68" t="s">
        <v>149</v>
      </c>
      <c r="F49" s="69">
        <v>22</v>
      </c>
      <c r="G49" s="69">
        <v>26</v>
      </c>
      <c r="H49" s="69">
        <v>3</v>
      </c>
      <c r="I49" s="69">
        <f t="shared" si="15"/>
        <v>-19</v>
      </c>
      <c r="J49" s="69" t="s">
        <v>224</v>
      </c>
      <c r="K49" s="69">
        <f>H49*1</f>
        <v>3</v>
      </c>
      <c r="L49" s="69">
        <f>I49*1</f>
        <v>-19</v>
      </c>
      <c r="M49" s="69">
        <v>101</v>
      </c>
      <c r="N49" s="69">
        <v>119</v>
      </c>
      <c r="O49" s="69">
        <v>151</v>
      </c>
      <c r="P49" s="69">
        <f t="shared" si="0"/>
        <v>50</v>
      </c>
      <c r="Q49" s="69" t="s">
        <v>21</v>
      </c>
      <c r="R49" s="69">
        <f>O49*2.5</f>
        <v>377.5</v>
      </c>
      <c r="S49" s="69"/>
      <c r="T49" s="24">
        <v>4</v>
      </c>
      <c r="U49" s="24">
        <f t="shared" si="20"/>
        <v>5</v>
      </c>
      <c r="V49" s="24">
        <v>0</v>
      </c>
      <c r="W49" s="24">
        <f t="shared" si="16"/>
        <v>-4</v>
      </c>
      <c r="X49" s="24" t="str">
        <f>VLOOKUP(B:B,'[4]SQL Results'!$B$1:$P$65536,15,0)</f>
        <v/>
      </c>
      <c r="Y49" s="24" t="s">
        <v>224</v>
      </c>
      <c r="Z49" s="24"/>
      <c r="AA49" s="24">
        <f t="shared" si="19"/>
        <v>-20</v>
      </c>
      <c r="AB49" s="69">
        <v>1237</v>
      </c>
      <c r="AC49" s="69">
        <v>1455.5</v>
      </c>
      <c r="AD49" s="69">
        <v>1596.65</v>
      </c>
      <c r="AE49" s="69">
        <f t="shared" si="2"/>
        <v>359.65</v>
      </c>
      <c r="AF49" s="69" t="s">
        <v>21</v>
      </c>
      <c r="AG49" s="69">
        <f>AD49*0.09</f>
        <v>143.6985</v>
      </c>
      <c r="AH49" s="69"/>
      <c r="AI49" s="69">
        <f t="shared" si="17"/>
        <v>524</v>
      </c>
      <c r="AJ49" s="69">
        <f t="shared" si="18"/>
        <v>-39</v>
      </c>
    </row>
    <row r="50" spans="1:36">
      <c r="A50" s="68">
        <v>48</v>
      </c>
      <c r="B50" s="68">
        <v>373</v>
      </c>
      <c r="C50" s="68" t="s">
        <v>150</v>
      </c>
      <c r="D50" s="68" t="s">
        <v>104</v>
      </c>
      <c r="E50" s="68" t="s">
        <v>149</v>
      </c>
      <c r="F50" s="69">
        <v>34</v>
      </c>
      <c r="G50" s="69">
        <v>41</v>
      </c>
      <c r="H50" s="69">
        <v>27</v>
      </c>
      <c r="I50" s="69">
        <f t="shared" si="15"/>
        <v>-7</v>
      </c>
      <c r="J50" s="69" t="s">
        <v>224</v>
      </c>
      <c r="K50" s="69">
        <f>H50*1</f>
        <v>27</v>
      </c>
      <c r="L50" s="69">
        <f>I50*1</f>
        <v>-7</v>
      </c>
      <c r="M50" s="69">
        <v>123</v>
      </c>
      <c r="N50" s="69">
        <v>145</v>
      </c>
      <c r="O50" s="69">
        <v>80</v>
      </c>
      <c r="P50" s="69">
        <f t="shared" si="0"/>
        <v>-43</v>
      </c>
      <c r="Q50" s="69" t="s">
        <v>224</v>
      </c>
      <c r="R50" s="69">
        <f>O50*0.8</f>
        <v>64</v>
      </c>
      <c r="S50" s="69">
        <f>P50*0.6</f>
        <v>-25.8</v>
      </c>
      <c r="T50" s="24">
        <v>4</v>
      </c>
      <c r="U50" s="24">
        <f t="shared" si="20"/>
        <v>5</v>
      </c>
      <c r="V50" s="24">
        <v>0</v>
      </c>
      <c r="W50" s="24">
        <f t="shared" si="16"/>
        <v>-4</v>
      </c>
      <c r="X50" s="24" t="str">
        <f>VLOOKUP(B:B,'[4]SQL Results'!$B$1:$P$65536,15,0)</f>
        <v/>
      </c>
      <c r="Y50" s="24" t="s">
        <v>224</v>
      </c>
      <c r="Z50" s="24"/>
      <c r="AA50" s="24">
        <f t="shared" si="19"/>
        <v>-20</v>
      </c>
      <c r="AB50" s="69">
        <v>4496.54</v>
      </c>
      <c r="AC50" s="69">
        <v>5245.5</v>
      </c>
      <c r="AD50" s="69">
        <v>2524</v>
      </c>
      <c r="AE50" s="69">
        <f t="shared" si="2"/>
        <v>-1972.54</v>
      </c>
      <c r="AF50" s="69" t="s">
        <v>224</v>
      </c>
      <c r="AG50" s="69">
        <f>AD50*0.05</f>
        <v>126.2</v>
      </c>
      <c r="AH50" s="69">
        <f>AE50*0.04</f>
        <v>-78.9016</v>
      </c>
      <c r="AI50" s="69">
        <f t="shared" si="17"/>
        <v>217</v>
      </c>
      <c r="AJ50" s="69">
        <f t="shared" si="18"/>
        <v>-132</v>
      </c>
    </row>
    <row r="51" spans="1:36">
      <c r="A51" s="68">
        <v>49</v>
      </c>
      <c r="B51" s="68">
        <v>515</v>
      </c>
      <c r="C51" s="68" t="s">
        <v>151</v>
      </c>
      <c r="D51" s="68" t="s">
        <v>104</v>
      </c>
      <c r="E51" s="68" t="s">
        <v>149</v>
      </c>
      <c r="F51" s="69">
        <v>18</v>
      </c>
      <c r="G51" s="69">
        <v>23</v>
      </c>
      <c r="H51" s="69">
        <v>33</v>
      </c>
      <c r="I51" s="69">
        <f t="shared" si="15"/>
        <v>15</v>
      </c>
      <c r="J51" s="69" t="s">
        <v>21</v>
      </c>
      <c r="K51" s="69">
        <f>H51*3.5</f>
        <v>115.5</v>
      </c>
      <c r="L51" s="69"/>
      <c r="M51" s="69">
        <v>180</v>
      </c>
      <c r="N51" s="69">
        <v>203</v>
      </c>
      <c r="O51" s="69">
        <v>114</v>
      </c>
      <c r="P51" s="69">
        <f t="shared" si="0"/>
        <v>-66</v>
      </c>
      <c r="Q51" s="69" t="s">
        <v>224</v>
      </c>
      <c r="R51" s="69">
        <f>O51*0.8</f>
        <v>91.2</v>
      </c>
      <c r="S51" s="69">
        <f>P51*0.6</f>
        <v>-39.6</v>
      </c>
      <c r="T51" s="24">
        <v>4</v>
      </c>
      <c r="U51" s="24">
        <f t="shared" si="20"/>
        <v>5</v>
      </c>
      <c r="V51" s="24">
        <v>1</v>
      </c>
      <c r="W51" s="24">
        <f t="shared" si="16"/>
        <v>-3</v>
      </c>
      <c r="X51" s="24">
        <f>VLOOKUP(B:B,'[4]SQL Results'!$B$1:$P$65536,15,0)</f>
        <v>198</v>
      </c>
      <c r="Y51" s="24" t="s">
        <v>224</v>
      </c>
      <c r="Z51" s="24">
        <f>X51*0.05</f>
        <v>9.9</v>
      </c>
      <c r="AA51" s="24"/>
      <c r="AB51" s="69">
        <v>4015.05</v>
      </c>
      <c r="AC51" s="69">
        <v>4619.57</v>
      </c>
      <c r="AD51" s="69">
        <v>2036.8</v>
      </c>
      <c r="AE51" s="69">
        <f t="shared" si="2"/>
        <v>-1978.25</v>
      </c>
      <c r="AF51" s="69" t="s">
        <v>224</v>
      </c>
      <c r="AG51" s="69">
        <f>AD51*0.05</f>
        <v>101.84</v>
      </c>
      <c r="AH51" s="69">
        <f>AE51*0.04</f>
        <v>-79.13</v>
      </c>
      <c r="AI51" s="69">
        <f t="shared" si="17"/>
        <v>318</v>
      </c>
      <c r="AJ51" s="69">
        <f t="shared" si="18"/>
        <v>-119</v>
      </c>
    </row>
    <row r="52" spans="1:36">
      <c r="A52" s="68">
        <v>50</v>
      </c>
      <c r="B52" s="68">
        <v>308</v>
      </c>
      <c r="C52" s="68" t="s">
        <v>152</v>
      </c>
      <c r="D52" s="68" t="s">
        <v>95</v>
      </c>
      <c r="E52" s="68" t="s">
        <v>149</v>
      </c>
      <c r="F52" s="69">
        <v>22</v>
      </c>
      <c r="G52" s="69">
        <v>26</v>
      </c>
      <c r="H52" s="69">
        <v>109</v>
      </c>
      <c r="I52" s="69">
        <f t="shared" si="15"/>
        <v>87</v>
      </c>
      <c r="J52" s="69" t="s">
        <v>21</v>
      </c>
      <c r="K52" s="69">
        <f>H52*3.5</f>
        <v>381.5</v>
      </c>
      <c r="L52" s="69"/>
      <c r="M52" s="69">
        <v>105</v>
      </c>
      <c r="N52" s="69">
        <v>124</v>
      </c>
      <c r="O52" s="69">
        <v>109</v>
      </c>
      <c r="P52" s="69">
        <f t="shared" si="0"/>
        <v>4</v>
      </c>
      <c r="Q52" s="69" t="s">
        <v>20</v>
      </c>
      <c r="R52" s="69">
        <f>O52*1.5</f>
        <v>163.5</v>
      </c>
      <c r="S52" s="69"/>
      <c r="T52" s="24">
        <v>4</v>
      </c>
      <c r="U52" s="24">
        <f t="shared" si="20"/>
        <v>5</v>
      </c>
      <c r="V52" s="24">
        <v>0</v>
      </c>
      <c r="W52" s="24">
        <f t="shared" si="16"/>
        <v>-4</v>
      </c>
      <c r="X52" s="24" t="str">
        <f>VLOOKUP(B:B,'[4]SQL Results'!$B$1:$P$65536,15,0)</f>
        <v/>
      </c>
      <c r="Y52" s="24" t="s">
        <v>224</v>
      </c>
      <c r="Z52" s="24"/>
      <c r="AA52" s="24">
        <f>W52*5</f>
        <v>-20</v>
      </c>
      <c r="AB52" s="69">
        <v>5601.55</v>
      </c>
      <c r="AC52" s="69">
        <v>6221.86</v>
      </c>
      <c r="AD52" s="69">
        <v>4019.06</v>
      </c>
      <c r="AE52" s="69">
        <f t="shared" si="2"/>
        <v>-1582.49</v>
      </c>
      <c r="AF52" s="69" t="s">
        <v>224</v>
      </c>
      <c r="AG52" s="69">
        <f>AD52*0.05</f>
        <v>200.953</v>
      </c>
      <c r="AH52" s="69">
        <f>AE52*0.04</f>
        <v>-63.2996</v>
      </c>
      <c r="AI52" s="69">
        <f t="shared" si="17"/>
        <v>746</v>
      </c>
      <c r="AJ52" s="69">
        <f t="shared" si="18"/>
        <v>-83</v>
      </c>
    </row>
    <row r="53" spans="1:36">
      <c r="A53" s="68">
        <v>51</v>
      </c>
      <c r="B53" s="68">
        <v>517</v>
      </c>
      <c r="C53" s="68" t="s">
        <v>153</v>
      </c>
      <c r="D53" s="68" t="s">
        <v>92</v>
      </c>
      <c r="E53" s="68" t="s">
        <v>149</v>
      </c>
      <c r="F53" s="69">
        <v>22</v>
      </c>
      <c r="G53" s="69">
        <v>26</v>
      </c>
      <c r="H53" s="69">
        <v>0</v>
      </c>
      <c r="I53" s="69">
        <f t="shared" si="15"/>
        <v>-22</v>
      </c>
      <c r="J53" s="69" t="s">
        <v>224</v>
      </c>
      <c r="K53" s="69">
        <f t="shared" ref="K53:K59" si="21">H53*1</f>
        <v>0</v>
      </c>
      <c r="L53" s="69">
        <f t="shared" ref="L53:L59" si="22">I53*1</f>
        <v>-22</v>
      </c>
      <c r="M53" s="69">
        <v>70</v>
      </c>
      <c r="N53" s="69">
        <v>91</v>
      </c>
      <c r="O53" s="69">
        <v>88</v>
      </c>
      <c r="P53" s="69">
        <f t="shared" si="0"/>
        <v>18</v>
      </c>
      <c r="Q53" s="69" t="s">
        <v>20</v>
      </c>
      <c r="R53" s="69">
        <f>O53*1.5</f>
        <v>132</v>
      </c>
      <c r="S53" s="69"/>
      <c r="T53" s="24">
        <v>4</v>
      </c>
      <c r="U53" s="24">
        <f t="shared" si="20"/>
        <v>5</v>
      </c>
      <c r="V53" s="24">
        <v>0</v>
      </c>
      <c r="W53" s="24">
        <f t="shared" si="16"/>
        <v>-4</v>
      </c>
      <c r="X53" s="24" t="str">
        <f>VLOOKUP(B:B,'[4]SQL Results'!$B$1:$P$65536,15,0)</f>
        <v/>
      </c>
      <c r="Y53" s="24" t="s">
        <v>224</v>
      </c>
      <c r="Z53" s="24"/>
      <c r="AA53" s="24">
        <f>W53*5</f>
        <v>-20</v>
      </c>
      <c r="AB53" s="69">
        <v>2944.66</v>
      </c>
      <c r="AC53" s="69">
        <v>3622.52</v>
      </c>
      <c r="AD53" s="69">
        <v>1746.51</v>
      </c>
      <c r="AE53" s="69">
        <f t="shared" si="2"/>
        <v>-1198.15</v>
      </c>
      <c r="AF53" s="69" t="s">
        <v>224</v>
      </c>
      <c r="AG53" s="69">
        <f>AD53*0.05</f>
        <v>87.3255</v>
      </c>
      <c r="AH53" s="69">
        <f>AE53*0.04</f>
        <v>-47.926</v>
      </c>
      <c r="AI53" s="69">
        <f t="shared" si="17"/>
        <v>219</v>
      </c>
      <c r="AJ53" s="69">
        <f t="shared" si="18"/>
        <v>-90</v>
      </c>
    </row>
    <row r="54" spans="1:36">
      <c r="A54" s="68">
        <v>52</v>
      </c>
      <c r="B54" s="68">
        <v>744</v>
      </c>
      <c r="C54" s="68" t="s">
        <v>154</v>
      </c>
      <c r="D54" s="68" t="s">
        <v>95</v>
      </c>
      <c r="E54" s="68" t="s">
        <v>149</v>
      </c>
      <c r="F54" s="69">
        <v>21</v>
      </c>
      <c r="G54" s="69">
        <v>25</v>
      </c>
      <c r="H54" s="69">
        <v>6</v>
      </c>
      <c r="I54" s="69">
        <f t="shared" si="15"/>
        <v>-15</v>
      </c>
      <c r="J54" s="69" t="s">
        <v>224</v>
      </c>
      <c r="K54" s="69">
        <f t="shared" si="21"/>
        <v>6</v>
      </c>
      <c r="L54" s="69">
        <f t="shared" si="22"/>
        <v>-15</v>
      </c>
      <c r="M54" s="69">
        <v>85</v>
      </c>
      <c r="N54" s="69">
        <v>111</v>
      </c>
      <c r="O54" s="69">
        <v>105</v>
      </c>
      <c r="P54" s="69">
        <f t="shared" si="0"/>
        <v>20</v>
      </c>
      <c r="Q54" s="69" t="s">
        <v>20</v>
      </c>
      <c r="R54" s="69">
        <f>O54*1.5</f>
        <v>157.5</v>
      </c>
      <c r="S54" s="69"/>
      <c r="T54" s="24">
        <v>4</v>
      </c>
      <c r="U54" s="24">
        <f t="shared" si="20"/>
        <v>5</v>
      </c>
      <c r="V54" s="24">
        <v>2</v>
      </c>
      <c r="W54" s="24">
        <f t="shared" si="16"/>
        <v>-2</v>
      </c>
      <c r="X54" s="24">
        <f>VLOOKUP(B:B,'[4]SQL Results'!$B$1:$P$65536,15,0)</f>
        <v>198</v>
      </c>
      <c r="Y54" s="24" t="s">
        <v>224</v>
      </c>
      <c r="Z54" s="24">
        <f>X54*0.05</f>
        <v>9.9</v>
      </c>
      <c r="AA54" s="24"/>
      <c r="AB54" s="69">
        <v>3030.55</v>
      </c>
      <c r="AC54" s="69">
        <v>3539.72</v>
      </c>
      <c r="AD54" s="69">
        <v>2692</v>
      </c>
      <c r="AE54" s="69">
        <f t="shared" si="2"/>
        <v>-338.55</v>
      </c>
      <c r="AF54" s="69" t="s">
        <v>224</v>
      </c>
      <c r="AG54" s="69">
        <f>AD54*0.05</f>
        <v>134.6</v>
      </c>
      <c r="AH54" s="69">
        <f>AE54*0.04</f>
        <v>-13.542</v>
      </c>
      <c r="AI54" s="69">
        <f t="shared" si="17"/>
        <v>308</v>
      </c>
      <c r="AJ54" s="69">
        <f t="shared" si="18"/>
        <v>-29</v>
      </c>
    </row>
    <row r="55" spans="1:36">
      <c r="A55" s="68">
        <v>53</v>
      </c>
      <c r="B55" s="68">
        <v>391</v>
      </c>
      <c r="C55" s="68" t="s">
        <v>155</v>
      </c>
      <c r="D55" s="68" t="s">
        <v>104</v>
      </c>
      <c r="E55" s="68" t="s">
        <v>149</v>
      </c>
      <c r="F55" s="69">
        <v>14</v>
      </c>
      <c r="G55" s="69">
        <v>18</v>
      </c>
      <c r="H55" s="69">
        <v>9</v>
      </c>
      <c r="I55" s="69">
        <f t="shared" si="15"/>
        <v>-5</v>
      </c>
      <c r="J55" s="69" t="s">
        <v>224</v>
      </c>
      <c r="K55" s="69">
        <f t="shared" si="21"/>
        <v>9</v>
      </c>
      <c r="L55" s="69">
        <f t="shared" si="22"/>
        <v>-5</v>
      </c>
      <c r="M55" s="69">
        <v>155</v>
      </c>
      <c r="N55" s="69">
        <v>175</v>
      </c>
      <c r="O55" s="69">
        <v>75</v>
      </c>
      <c r="P55" s="69">
        <f t="shared" si="0"/>
        <v>-80</v>
      </c>
      <c r="Q55" s="69" t="s">
        <v>224</v>
      </c>
      <c r="R55" s="69">
        <f>O55*0.8</f>
        <v>60</v>
      </c>
      <c r="S55" s="69">
        <f>P55*0.6</f>
        <v>-48</v>
      </c>
      <c r="T55" s="24">
        <v>4</v>
      </c>
      <c r="U55" s="24">
        <f t="shared" si="20"/>
        <v>5</v>
      </c>
      <c r="V55" s="24">
        <v>4</v>
      </c>
      <c r="W55" s="24">
        <f t="shared" si="16"/>
        <v>0</v>
      </c>
      <c r="X55" s="24">
        <f>VLOOKUP(B:B,'[4]SQL Results'!$B$1:$P$65536,15,0)</f>
        <v>564.31</v>
      </c>
      <c r="Y55" s="24" t="s">
        <v>20</v>
      </c>
      <c r="Z55" s="24">
        <f>X55*0.08</f>
        <v>45.1448</v>
      </c>
      <c r="AA55" s="24"/>
      <c r="AB55" s="69">
        <v>2188.5</v>
      </c>
      <c r="AC55" s="69">
        <v>2663.9</v>
      </c>
      <c r="AD55" s="69">
        <v>4302</v>
      </c>
      <c r="AE55" s="69">
        <f t="shared" si="2"/>
        <v>2113.5</v>
      </c>
      <c r="AF55" s="69" t="s">
        <v>21</v>
      </c>
      <c r="AG55" s="69">
        <f>AD55*0.09</f>
        <v>387.18</v>
      </c>
      <c r="AH55" s="69"/>
      <c r="AI55" s="69">
        <f t="shared" si="17"/>
        <v>501</v>
      </c>
      <c r="AJ55" s="69">
        <f t="shared" si="18"/>
        <v>-53</v>
      </c>
    </row>
    <row r="56" spans="1:36">
      <c r="A56" s="68">
        <v>54</v>
      </c>
      <c r="B56" s="68">
        <v>355</v>
      </c>
      <c r="C56" s="68" t="s">
        <v>156</v>
      </c>
      <c r="D56" s="68" t="s">
        <v>95</v>
      </c>
      <c r="E56" s="68" t="s">
        <v>149</v>
      </c>
      <c r="F56" s="69">
        <v>15</v>
      </c>
      <c r="G56" s="69">
        <v>20</v>
      </c>
      <c r="H56" s="69">
        <v>5</v>
      </c>
      <c r="I56" s="69">
        <f t="shared" si="15"/>
        <v>-10</v>
      </c>
      <c r="J56" s="69" t="s">
        <v>224</v>
      </c>
      <c r="K56" s="69">
        <f t="shared" si="21"/>
        <v>5</v>
      </c>
      <c r="L56" s="69">
        <f t="shared" si="22"/>
        <v>-10</v>
      </c>
      <c r="M56" s="69">
        <v>145</v>
      </c>
      <c r="N56" s="69">
        <v>171</v>
      </c>
      <c r="O56" s="69">
        <v>132</v>
      </c>
      <c r="P56" s="69">
        <f t="shared" si="0"/>
        <v>-13</v>
      </c>
      <c r="Q56" s="69" t="s">
        <v>224</v>
      </c>
      <c r="R56" s="69">
        <f>O56*0.8</f>
        <v>105.6</v>
      </c>
      <c r="S56" s="69">
        <f>P56*0.6</f>
        <v>-7.8</v>
      </c>
      <c r="T56" s="24">
        <v>10</v>
      </c>
      <c r="U56" s="24">
        <f t="shared" si="20"/>
        <v>11</v>
      </c>
      <c r="V56" s="24">
        <v>3</v>
      </c>
      <c r="W56" s="24">
        <f t="shared" si="16"/>
        <v>-7</v>
      </c>
      <c r="X56" s="24">
        <f>VLOOKUP(B:B,'[4]SQL Results'!$B$1:$P$65536,15,0)</f>
        <v>396</v>
      </c>
      <c r="Y56" s="24" t="s">
        <v>224</v>
      </c>
      <c r="Z56" s="24">
        <f>X56*0.05</f>
        <v>19.8</v>
      </c>
      <c r="AA56" s="24"/>
      <c r="AB56" s="69">
        <v>3202.5</v>
      </c>
      <c r="AC56" s="69">
        <v>3763.25</v>
      </c>
      <c r="AD56" s="69">
        <v>5060.49</v>
      </c>
      <c r="AE56" s="69">
        <f t="shared" si="2"/>
        <v>1857.99</v>
      </c>
      <c r="AF56" s="69" t="s">
        <v>21</v>
      </c>
      <c r="AG56" s="69">
        <f>AD56*0.09</f>
        <v>455.4441</v>
      </c>
      <c r="AH56" s="69"/>
      <c r="AI56" s="69">
        <f t="shared" si="17"/>
        <v>586</v>
      </c>
      <c r="AJ56" s="69">
        <f t="shared" si="18"/>
        <v>-18</v>
      </c>
    </row>
    <row r="57" spans="1:36">
      <c r="A57" s="68">
        <v>55</v>
      </c>
      <c r="B57" s="68">
        <v>349</v>
      </c>
      <c r="C57" s="68" t="s">
        <v>157</v>
      </c>
      <c r="D57" s="68" t="s">
        <v>104</v>
      </c>
      <c r="E57" s="68" t="s">
        <v>149</v>
      </c>
      <c r="F57" s="69">
        <v>24</v>
      </c>
      <c r="G57" s="69">
        <v>29</v>
      </c>
      <c r="H57" s="69">
        <v>2</v>
      </c>
      <c r="I57" s="69">
        <f t="shared" si="15"/>
        <v>-22</v>
      </c>
      <c r="J57" s="69" t="s">
        <v>224</v>
      </c>
      <c r="K57" s="69">
        <f t="shared" si="21"/>
        <v>2</v>
      </c>
      <c r="L57" s="69">
        <f t="shared" si="22"/>
        <v>-22</v>
      </c>
      <c r="M57" s="69">
        <v>102</v>
      </c>
      <c r="N57" s="69">
        <v>120</v>
      </c>
      <c r="O57" s="69">
        <v>164</v>
      </c>
      <c r="P57" s="69">
        <f t="shared" si="0"/>
        <v>62</v>
      </c>
      <c r="Q57" s="69" t="s">
        <v>21</v>
      </c>
      <c r="R57" s="69">
        <f>O57*2.5</f>
        <v>410</v>
      </c>
      <c r="S57" s="69"/>
      <c r="T57" s="24">
        <v>4</v>
      </c>
      <c r="U57" s="24">
        <f t="shared" si="20"/>
        <v>5</v>
      </c>
      <c r="V57" s="24">
        <v>3</v>
      </c>
      <c r="W57" s="24">
        <f t="shared" si="16"/>
        <v>-1</v>
      </c>
      <c r="X57" s="24">
        <f>VLOOKUP(B:B,'[4]SQL Results'!$B$1:$P$65536,15,0)</f>
        <v>396.01</v>
      </c>
      <c r="Y57" s="24" t="s">
        <v>224</v>
      </c>
      <c r="Z57" s="24">
        <f>X57*0.05</f>
        <v>19.8005</v>
      </c>
      <c r="AA57" s="24"/>
      <c r="AB57" s="69">
        <v>3466.52</v>
      </c>
      <c r="AC57" s="69">
        <v>4106.48</v>
      </c>
      <c r="AD57" s="69">
        <v>5680.79</v>
      </c>
      <c r="AE57" s="69">
        <f t="shared" si="2"/>
        <v>2214.27</v>
      </c>
      <c r="AF57" s="69" t="s">
        <v>21</v>
      </c>
      <c r="AG57" s="69">
        <f>AD57*0.09</f>
        <v>511.2711</v>
      </c>
      <c r="AH57" s="69"/>
      <c r="AI57" s="69">
        <f t="shared" si="17"/>
        <v>943</v>
      </c>
      <c r="AJ57" s="69">
        <f t="shared" si="18"/>
        <v>-22</v>
      </c>
    </row>
    <row r="58" spans="1:36">
      <c r="A58" s="68">
        <v>56</v>
      </c>
      <c r="B58" s="68">
        <v>742</v>
      </c>
      <c r="C58" s="68" t="s">
        <v>158</v>
      </c>
      <c r="D58" s="68" t="s">
        <v>95</v>
      </c>
      <c r="E58" s="68" t="s">
        <v>149</v>
      </c>
      <c r="F58" s="69">
        <v>22</v>
      </c>
      <c r="G58" s="69">
        <v>26</v>
      </c>
      <c r="H58" s="69">
        <v>14</v>
      </c>
      <c r="I58" s="69">
        <f t="shared" si="15"/>
        <v>-8</v>
      </c>
      <c r="J58" s="69" t="s">
        <v>224</v>
      </c>
      <c r="K58" s="69">
        <f t="shared" si="21"/>
        <v>14</v>
      </c>
      <c r="L58" s="69">
        <f t="shared" si="22"/>
        <v>-8</v>
      </c>
      <c r="M58" s="69">
        <v>115</v>
      </c>
      <c r="N58" s="69">
        <v>136</v>
      </c>
      <c r="O58" s="69">
        <v>125</v>
      </c>
      <c r="P58" s="69">
        <f t="shared" si="0"/>
        <v>10</v>
      </c>
      <c r="Q58" s="69" t="s">
        <v>20</v>
      </c>
      <c r="R58" s="69">
        <f>O58*1.5</f>
        <v>187.5</v>
      </c>
      <c r="S58" s="69"/>
      <c r="T58" s="24">
        <v>4</v>
      </c>
      <c r="U58" s="24">
        <f t="shared" si="20"/>
        <v>5</v>
      </c>
      <c r="V58" s="24">
        <v>4</v>
      </c>
      <c r="W58" s="24">
        <f t="shared" si="16"/>
        <v>0</v>
      </c>
      <c r="X58" s="24">
        <f>VLOOKUP(B:B,'[4]SQL Results'!$B$1:$P$65536,15,0)</f>
        <v>594</v>
      </c>
      <c r="Y58" s="24" t="s">
        <v>20</v>
      </c>
      <c r="Z58" s="24">
        <f>X58*0.08</f>
        <v>47.52</v>
      </c>
      <c r="AA58" s="24"/>
      <c r="AB58" s="69">
        <v>1357.5</v>
      </c>
      <c r="AC58" s="69">
        <v>1636.25</v>
      </c>
      <c r="AD58" s="69">
        <v>1558.23</v>
      </c>
      <c r="AE58" s="69">
        <f t="shared" si="2"/>
        <v>200.73</v>
      </c>
      <c r="AF58" s="69" t="s">
        <v>20</v>
      </c>
      <c r="AG58" s="69">
        <f>AD58*0.07</f>
        <v>109.0761</v>
      </c>
      <c r="AH58" s="69"/>
      <c r="AI58" s="69">
        <f t="shared" si="17"/>
        <v>358</v>
      </c>
      <c r="AJ58" s="69">
        <f t="shared" si="18"/>
        <v>-8</v>
      </c>
    </row>
    <row r="59" spans="1:36">
      <c r="A59" s="68">
        <v>57</v>
      </c>
      <c r="B59" s="68">
        <v>511</v>
      </c>
      <c r="C59" s="68" t="s">
        <v>159</v>
      </c>
      <c r="D59" s="68" t="s">
        <v>107</v>
      </c>
      <c r="E59" s="68" t="s">
        <v>149</v>
      </c>
      <c r="F59" s="69">
        <v>12</v>
      </c>
      <c r="G59" s="69">
        <v>16</v>
      </c>
      <c r="H59" s="69">
        <v>0</v>
      </c>
      <c r="I59" s="69">
        <f t="shared" si="15"/>
        <v>-12</v>
      </c>
      <c r="J59" s="69" t="s">
        <v>224</v>
      </c>
      <c r="K59" s="69">
        <f t="shared" si="21"/>
        <v>0</v>
      </c>
      <c r="L59" s="69">
        <f t="shared" si="22"/>
        <v>-12</v>
      </c>
      <c r="M59" s="69">
        <v>112</v>
      </c>
      <c r="N59" s="69">
        <v>132</v>
      </c>
      <c r="O59" s="69">
        <v>76</v>
      </c>
      <c r="P59" s="69">
        <f t="shared" si="0"/>
        <v>-36</v>
      </c>
      <c r="Q59" s="69" t="s">
        <v>224</v>
      </c>
      <c r="R59" s="69">
        <f>O59*0.8</f>
        <v>60.8</v>
      </c>
      <c r="S59" s="69">
        <f>P59*0.6</f>
        <v>-21.6</v>
      </c>
      <c r="T59" s="24">
        <v>4</v>
      </c>
      <c r="U59" s="24">
        <f t="shared" si="20"/>
        <v>5</v>
      </c>
      <c r="V59" s="24">
        <v>4</v>
      </c>
      <c r="W59" s="24">
        <f t="shared" si="16"/>
        <v>0</v>
      </c>
      <c r="X59" s="24">
        <f>VLOOKUP(B:B,'[4]SQL Results'!$B$1:$P$65536,15,0)</f>
        <v>564.3</v>
      </c>
      <c r="Y59" s="24" t="s">
        <v>20</v>
      </c>
      <c r="Z59" s="24">
        <f>X59*0.08</f>
        <v>45.144</v>
      </c>
      <c r="AA59" s="24"/>
      <c r="AB59" s="69">
        <v>1986.5</v>
      </c>
      <c r="AC59" s="69">
        <v>2579.75</v>
      </c>
      <c r="AD59" s="69">
        <v>1263.24</v>
      </c>
      <c r="AE59" s="69">
        <f t="shared" si="2"/>
        <v>-723.26</v>
      </c>
      <c r="AF59" s="69" t="s">
        <v>224</v>
      </c>
      <c r="AG59" s="69">
        <f>AD59*0.05</f>
        <v>63.162</v>
      </c>
      <c r="AH59" s="69">
        <f>AE59*0.04</f>
        <v>-28.9304</v>
      </c>
      <c r="AI59" s="69">
        <f t="shared" si="17"/>
        <v>169</v>
      </c>
      <c r="AJ59" s="69">
        <f t="shared" si="18"/>
        <v>-63</v>
      </c>
    </row>
    <row r="60" spans="1:36">
      <c r="A60" s="68">
        <v>58</v>
      </c>
      <c r="B60" s="68">
        <v>747</v>
      </c>
      <c r="C60" s="68" t="s">
        <v>160</v>
      </c>
      <c r="D60" s="68" t="s">
        <v>139</v>
      </c>
      <c r="E60" s="68" t="s">
        <v>149</v>
      </c>
      <c r="F60" s="69">
        <v>4</v>
      </c>
      <c r="G60" s="69">
        <v>6</v>
      </c>
      <c r="H60" s="69">
        <v>12</v>
      </c>
      <c r="I60" s="69">
        <f t="shared" si="15"/>
        <v>8</v>
      </c>
      <c r="J60" s="69" t="s">
        <v>21</v>
      </c>
      <c r="K60" s="69">
        <f>H60*3.5</f>
        <v>42</v>
      </c>
      <c r="L60" s="69"/>
      <c r="M60" s="69">
        <v>73</v>
      </c>
      <c r="N60" s="69">
        <v>95</v>
      </c>
      <c r="O60" s="69">
        <v>51</v>
      </c>
      <c r="P60" s="69">
        <f t="shared" si="0"/>
        <v>-22</v>
      </c>
      <c r="Q60" s="69" t="s">
        <v>224</v>
      </c>
      <c r="R60" s="69">
        <f>O60*0.8</f>
        <v>40.8</v>
      </c>
      <c r="S60" s="69">
        <f>P60*0.6</f>
        <v>-13.2</v>
      </c>
      <c r="T60" s="24">
        <v>6</v>
      </c>
      <c r="U60" s="24">
        <f t="shared" si="20"/>
        <v>7</v>
      </c>
      <c r="V60" s="24">
        <v>3</v>
      </c>
      <c r="W60" s="24">
        <f t="shared" si="16"/>
        <v>-3</v>
      </c>
      <c r="X60" s="24">
        <f>VLOOKUP(B:B,'[4]SQL Results'!$B$1:$P$65536,15,0)</f>
        <v>396</v>
      </c>
      <c r="Y60" s="24" t="s">
        <v>224</v>
      </c>
      <c r="Z60" s="24">
        <f>X60*0.05</f>
        <v>19.8</v>
      </c>
      <c r="AA60" s="24"/>
      <c r="AB60" s="69">
        <v>2524.14</v>
      </c>
      <c r="AC60" s="69">
        <v>3133.8</v>
      </c>
      <c r="AD60" s="69">
        <v>2355.41</v>
      </c>
      <c r="AE60" s="69">
        <f t="shared" si="2"/>
        <v>-168.73</v>
      </c>
      <c r="AF60" s="69" t="s">
        <v>224</v>
      </c>
      <c r="AG60" s="69">
        <f>AD60*0.05</f>
        <v>117.7705</v>
      </c>
      <c r="AH60" s="69">
        <f>AE60*0.04</f>
        <v>-6.7492</v>
      </c>
      <c r="AI60" s="69">
        <f t="shared" si="17"/>
        <v>220</v>
      </c>
      <c r="AJ60" s="69">
        <f t="shared" si="18"/>
        <v>-20</v>
      </c>
    </row>
    <row r="61" spans="1:36">
      <c r="A61" s="68">
        <v>59</v>
      </c>
      <c r="B61" s="68">
        <v>572</v>
      </c>
      <c r="C61" s="68" t="s">
        <v>161</v>
      </c>
      <c r="D61" s="68" t="s">
        <v>104</v>
      </c>
      <c r="E61" s="68" t="s">
        <v>149</v>
      </c>
      <c r="F61" s="69">
        <v>12</v>
      </c>
      <c r="G61" s="69">
        <v>16</v>
      </c>
      <c r="H61" s="69">
        <v>7</v>
      </c>
      <c r="I61" s="69">
        <f t="shared" si="15"/>
        <v>-5</v>
      </c>
      <c r="J61" s="69" t="s">
        <v>224</v>
      </c>
      <c r="K61" s="69">
        <f t="shared" ref="K61:K69" si="23">H61*1</f>
        <v>7</v>
      </c>
      <c r="L61" s="69">
        <f t="shared" ref="L61:L69" si="24">I61*1</f>
        <v>-5</v>
      </c>
      <c r="M61" s="69">
        <v>92</v>
      </c>
      <c r="N61" s="69">
        <v>120</v>
      </c>
      <c r="O61" s="69">
        <v>75</v>
      </c>
      <c r="P61" s="69">
        <f t="shared" si="0"/>
        <v>-17</v>
      </c>
      <c r="Q61" s="69" t="s">
        <v>224</v>
      </c>
      <c r="R61" s="69">
        <f>O61*0.8</f>
        <v>60</v>
      </c>
      <c r="S61" s="69">
        <f>P61*0.6</f>
        <v>-10.2</v>
      </c>
      <c r="T61" s="24">
        <v>4</v>
      </c>
      <c r="U61" s="24">
        <f t="shared" si="20"/>
        <v>5</v>
      </c>
      <c r="V61" s="24">
        <v>0</v>
      </c>
      <c r="W61" s="24">
        <f t="shared" si="16"/>
        <v>-4</v>
      </c>
      <c r="X61" s="24" t="str">
        <f>VLOOKUP(B:B,'[4]SQL Results'!$B$1:$P$65536,15,0)</f>
        <v/>
      </c>
      <c r="Y61" s="24" t="s">
        <v>224</v>
      </c>
      <c r="Z61" s="24"/>
      <c r="AA61" s="24">
        <f>W61*5</f>
        <v>-20</v>
      </c>
      <c r="AB61" s="69">
        <v>5798.06</v>
      </c>
      <c r="AC61" s="69">
        <v>6457.67</v>
      </c>
      <c r="AD61" s="69">
        <v>2967.5</v>
      </c>
      <c r="AE61" s="69">
        <f t="shared" si="2"/>
        <v>-2830.56</v>
      </c>
      <c r="AF61" s="69" t="s">
        <v>224</v>
      </c>
      <c r="AG61" s="69">
        <f>AD61*0.05</f>
        <v>148.375</v>
      </c>
      <c r="AH61" s="69">
        <f>AE61*0.04</f>
        <v>-113.2224</v>
      </c>
      <c r="AI61" s="69">
        <f t="shared" si="17"/>
        <v>215</v>
      </c>
      <c r="AJ61" s="69">
        <f t="shared" si="18"/>
        <v>-148</v>
      </c>
    </row>
    <row r="62" spans="1:36">
      <c r="A62" s="68">
        <v>60</v>
      </c>
      <c r="B62" s="68">
        <v>723</v>
      </c>
      <c r="C62" s="68" t="s">
        <v>162</v>
      </c>
      <c r="D62" s="68" t="s">
        <v>113</v>
      </c>
      <c r="E62" s="68" t="s">
        <v>149</v>
      </c>
      <c r="F62" s="69">
        <v>5</v>
      </c>
      <c r="G62" s="69">
        <v>7</v>
      </c>
      <c r="H62" s="69">
        <v>1</v>
      </c>
      <c r="I62" s="69">
        <f t="shared" si="15"/>
        <v>-4</v>
      </c>
      <c r="J62" s="69" t="s">
        <v>224</v>
      </c>
      <c r="K62" s="69">
        <f t="shared" si="23"/>
        <v>1</v>
      </c>
      <c r="L62" s="69">
        <f t="shared" si="24"/>
        <v>-4</v>
      </c>
      <c r="M62" s="69">
        <v>72</v>
      </c>
      <c r="N62" s="69">
        <v>94</v>
      </c>
      <c r="O62" s="69">
        <v>80</v>
      </c>
      <c r="P62" s="69">
        <f t="shared" si="0"/>
        <v>8</v>
      </c>
      <c r="Q62" s="69" t="s">
        <v>20</v>
      </c>
      <c r="R62" s="69">
        <f>O62*1.5</f>
        <v>120</v>
      </c>
      <c r="S62" s="69"/>
      <c r="T62" s="24">
        <v>4</v>
      </c>
      <c r="U62" s="24">
        <f t="shared" si="20"/>
        <v>5</v>
      </c>
      <c r="V62" s="24">
        <v>4</v>
      </c>
      <c r="W62" s="24">
        <f t="shared" si="16"/>
        <v>0</v>
      </c>
      <c r="X62" s="24">
        <f>VLOOKUP(B:B,'[4]SQL Results'!$B$1:$P$65536,15,0)</f>
        <v>540</v>
      </c>
      <c r="Y62" s="24" t="s">
        <v>20</v>
      </c>
      <c r="Z62" s="24">
        <f>X62*0.08</f>
        <v>43.2</v>
      </c>
      <c r="AA62" s="24"/>
      <c r="AB62" s="69">
        <v>1037.04</v>
      </c>
      <c r="AC62" s="69">
        <v>1255.56</v>
      </c>
      <c r="AD62" s="69">
        <v>1076.5</v>
      </c>
      <c r="AE62" s="69">
        <f t="shared" si="2"/>
        <v>39.46</v>
      </c>
      <c r="AF62" s="69" t="s">
        <v>20</v>
      </c>
      <c r="AG62" s="69">
        <f>AD62*0.07</f>
        <v>75.355</v>
      </c>
      <c r="AH62" s="69"/>
      <c r="AI62" s="69">
        <f t="shared" si="17"/>
        <v>240</v>
      </c>
      <c r="AJ62" s="69">
        <f t="shared" si="18"/>
        <v>-4</v>
      </c>
    </row>
    <row r="63" spans="1:36">
      <c r="A63" s="68">
        <v>61</v>
      </c>
      <c r="B63" s="68">
        <v>718</v>
      </c>
      <c r="C63" s="68" t="s">
        <v>163</v>
      </c>
      <c r="D63" s="68" t="s">
        <v>113</v>
      </c>
      <c r="E63" s="68" t="s">
        <v>149</v>
      </c>
      <c r="F63" s="69">
        <v>10</v>
      </c>
      <c r="G63" s="69">
        <v>13</v>
      </c>
      <c r="H63" s="69">
        <v>9</v>
      </c>
      <c r="I63" s="69">
        <f t="shared" si="15"/>
        <v>-1</v>
      </c>
      <c r="J63" s="69" t="s">
        <v>224</v>
      </c>
      <c r="K63" s="69">
        <f t="shared" si="23"/>
        <v>9</v>
      </c>
      <c r="L63" s="69">
        <f t="shared" si="24"/>
        <v>-1</v>
      </c>
      <c r="M63" s="69">
        <v>54</v>
      </c>
      <c r="N63" s="69">
        <v>70</v>
      </c>
      <c r="O63" s="69">
        <v>40</v>
      </c>
      <c r="P63" s="69">
        <f t="shared" si="0"/>
        <v>-14</v>
      </c>
      <c r="Q63" s="69" t="s">
        <v>224</v>
      </c>
      <c r="R63" s="69">
        <f>O63*0.8</f>
        <v>32</v>
      </c>
      <c r="S63" s="69">
        <f>P63*0.6</f>
        <v>-8.4</v>
      </c>
      <c r="T63" s="24">
        <v>4</v>
      </c>
      <c r="U63" s="24">
        <f t="shared" si="20"/>
        <v>5</v>
      </c>
      <c r="V63" s="24">
        <v>0</v>
      </c>
      <c r="W63" s="24">
        <f t="shared" si="16"/>
        <v>-4</v>
      </c>
      <c r="X63" s="24" t="str">
        <f>VLOOKUP(B:B,'[4]SQL Results'!$B$1:$P$65536,15,0)</f>
        <v/>
      </c>
      <c r="Y63" s="24" t="s">
        <v>224</v>
      </c>
      <c r="Z63" s="24"/>
      <c r="AA63" s="24">
        <f>W63*5</f>
        <v>-20</v>
      </c>
      <c r="AB63" s="69">
        <v>2058.02</v>
      </c>
      <c r="AC63" s="69">
        <v>2481.23</v>
      </c>
      <c r="AD63" s="69">
        <v>1347.72</v>
      </c>
      <c r="AE63" s="69">
        <f t="shared" si="2"/>
        <v>-710.3</v>
      </c>
      <c r="AF63" s="69" t="s">
        <v>224</v>
      </c>
      <c r="AG63" s="69">
        <f>AD63*0.05</f>
        <v>67.386</v>
      </c>
      <c r="AH63" s="69">
        <f>AE63*0.04</f>
        <v>-28.412</v>
      </c>
      <c r="AI63" s="69">
        <f t="shared" si="17"/>
        <v>108</v>
      </c>
      <c r="AJ63" s="69">
        <f t="shared" si="18"/>
        <v>-58</v>
      </c>
    </row>
    <row r="64" spans="1:36">
      <c r="A64" s="68">
        <v>62</v>
      </c>
      <c r="B64" s="71">
        <v>102935</v>
      </c>
      <c r="C64" s="70" t="s">
        <v>164</v>
      </c>
      <c r="D64" s="68" t="s">
        <v>109</v>
      </c>
      <c r="E64" s="68" t="s">
        <v>149</v>
      </c>
      <c r="F64" s="69">
        <v>15</v>
      </c>
      <c r="G64" s="69">
        <v>20</v>
      </c>
      <c r="H64" s="69">
        <v>13</v>
      </c>
      <c r="I64" s="69">
        <f t="shared" si="15"/>
        <v>-2</v>
      </c>
      <c r="J64" s="69" t="s">
        <v>224</v>
      </c>
      <c r="K64" s="69">
        <f t="shared" si="23"/>
        <v>13</v>
      </c>
      <c r="L64" s="69">
        <f t="shared" si="24"/>
        <v>-2</v>
      </c>
      <c r="M64" s="69">
        <v>74</v>
      </c>
      <c r="N64" s="69">
        <v>96</v>
      </c>
      <c r="O64" s="69">
        <v>85</v>
      </c>
      <c r="P64" s="69">
        <f t="shared" si="0"/>
        <v>11</v>
      </c>
      <c r="Q64" s="69" t="s">
        <v>20</v>
      </c>
      <c r="R64" s="69">
        <f>O64*1.5</f>
        <v>127.5</v>
      </c>
      <c r="S64" s="69"/>
      <c r="T64" s="24">
        <v>4</v>
      </c>
      <c r="U64" s="24">
        <f t="shared" si="20"/>
        <v>5</v>
      </c>
      <c r="V64" s="24">
        <v>0</v>
      </c>
      <c r="W64" s="24">
        <f t="shared" si="16"/>
        <v>-4</v>
      </c>
      <c r="X64" s="24" t="str">
        <f>VLOOKUP(B:B,'[4]SQL Results'!$B$1:$P$65536,15,0)</f>
        <v/>
      </c>
      <c r="Y64" s="24" t="s">
        <v>224</v>
      </c>
      <c r="Z64" s="24"/>
      <c r="AA64" s="24">
        <f>W64*5</f>
        <v>-20</v>
      </c>
      <c r="AB64" s="69">
        <v>1137</v>
      </c>
      <c r="AC64" s="69">
        <v>1405.5</v>
      </c>
      <c r="AD64" s="69">
        <v>1807.51</v>
      </c>
      <c r="AE64" s="69">
        <f t="shared" si="2"/>
        <v>670.51</v>
      </c>
      <c r="AF64" s="69" t="s">
        <v>21</v>
      </c>
      <c r="AG64" s="69">
        <f>AD64*0.09</f>
        <v>162.6759</v>
      </c>
      <c r="AH64" s="69"/>
      <c r="AI64" s="69">
        <f t="shared" si="17"/>
        <v>303</v>
      </c>
      <c r="AJ64" s="69">
        <f t="shared" si="18"/>
        <v>-22</v>
      </c>
    </row>
    <row r="65" spans="1:36">
      <c r="A65" s="68">
        <v>63</v>
      </c>
      <c r="B65" s="71">
        <v>102478</v>
      </c>
      <c r="C65" s="70" t="s">
        <v>165</v>
      </c>
      <c r="D65" s="68" t="s">
        <v>139</v>
      </c>
      <c r="E65" s="68" t="s">
        <v>149</v>
      </c>
      <c r="F65" s="69">
        <v>4</v>
      </c>
      <c r="G65" s="69">
        <v>6</v>
      </c>
      <c r="H65" s="69">
        <v>3</v>
      </c>
      <c r="I65" s="69">
        <f t="shared" si="15"/>
        <v>-1</v>
      </c>
      <c r="J65" s="69" t="s">
        <v>224</v>
      </c>
      <c r="K65" s="69">
        <f t="shared" si="23"/>
        <v>3</v>
      </c>
      <c r="L65" s="69">
        <f t="shared" si="24"/>
        <v>-1</v>
      </c>
      <c r="M65" s="69">
        <v>40</v>
      </c>
      <c r="N65" s="69">
        <v>52</v>
      </c>
      <c r="O65" s="69">
        <v>55</v>
      </c>
      <c r="P65" s="69">
        <f t="shared" si="0"/>
        <v>15</v>
      </c>
      <c r="Q65" s="69" t="s">
        <v>21</v>
      </c>
      <c r="R65" s="69">
        <f>O65*2.5</f>
        <v>137.5</v>
      </c>
      <c r="S65" s="69"/>
      <c r="T65" s="24">
        <v>4</v>
      </c>
      <c r="U65" s="24">
        <f t="shared" si="20"/>
        <v>5</v>
      </c>
      <c r="V65" s="24">
        <v>0</v>
      </c>
      <c r="W65" s="24">
        <f t="shared" si="16"/>
        <v>-4</v>
      </c>
      <c r="X65" s="24" t="str">
        <f>VLOOKUP(B:B,'[4]SQL Results'!$B$1:$P$65536,15,0)</f>
        <v/>
      </c>
      <c r="Y65" s="24" t="s">
        <v>224</v>
      </c>
      <c r="Z65" s="24"/>
      <c r="AA65" s="24">
        <f>W65*5</f>
        <v>-20</v>
      </c>
      <c r="AB65" s="69">
        <v>900</v>
      </c>
      <c r="AC65" s="69">
        <v>1140</v>
      </c>
      <c r="AD65" s="69">
        <v>847</v>
      </c>
      <c r="AE65" s="69">
        <f t="shared" si="2"/>
        <v>-53</v>
      </c>
      <c r="AF65" s="69" t="s">
        <v>224</v>
      </c>
      <c r="AG65" s="69">
        <f t="shared" ref="AG65:AG70" si="25">AD65*0.05</f>
        <v>42.35</v>
      </c>
      <c r="AH65" s="69">
        <f t="shared" ref="AH65:AH70" si="26">AE65*0.04</f>
        <v>-2.12</v>
      </c>
      <c r="AI65" s="69">
        <f t="shared" si="17"/>
        <v>183</v>
      </c>
      <c r="AJ65" s="69">
        <f t="shared" si="18"/>
        <v>-23</v>
      </c>
    </row>
    <row r="66" spans="1:36">
      <c r="A66" s="68">
        <v>64</v>
      </c>
      <c r="B66" s="71">
        <v>102479</v>
      </c>
      <c r="C66" s="70" t="s">
        <v>166</v>
      </c>
      <c r="D66" s="68" t="s">
        <v>109</v>
      </c>
      <c r="E66" s="68" t="s">
        <v>149</v>
      </c>
      <c r="F66" s="69">
        <v>8</v>
      </c>
      <c r="G66" s="69">
        <v>11</v>
      </c>
      <c r="H66" s="69">
        <v>1</v>
      </c>
      <c r="I66" s="69">
        <f t="shared" si="15"/>
        <v>-7</v>
      </c>
      <c r="J66" s="69" t="s">
        <v>224</v>
      </c>
      <c r="K66" s="69">
        <f t="shared" si="23"/>
        <v>1</v>
      </c>
      <c r="L66" s="69">
        <f t="shared" si="24"/>
        <v>-7</v>
      </c>
      <c r="M66" s="69">
        <v>98</v>
      </c>
      <c r="N66" s="69">
        <v>127</v>
      </c>
      <c r="O66" s="69">
        <v>188</v>
      </c>
      <c r="P66" s="69">
        <f t="shared" ref="P66:P103" si="27">O66-M66</f>
        <v>90</v>
      </c>
      <c r="Q66" s="69" t="s">
        <v>21</v>
      </c>
      <c r="R66" s="69">
        <f>O66*2.5</f>
        <v>470</v>
      </c>
      <c r="S66" s="69"/>
      <c r="T66" s="24">
        <v>4</v>
      </c>
      <c r="U66" s="24">
        <f t="shared" si="20"/>
        <v>5</v>
      </c>
      <c r="V66" s="24">
        <v>9</v>
      </c>
      <c r="W66" s="24">
        <f t="shared" si="16"/>
        <v>5</v>
      </c>
      <c r="X66" s="24">
        <f>VLOOKUP(B:B,'[4]SQL Results'!$B$1:$P$65536,15,0)</f>
        <v>1188</v>
      </c>
      <c r="Y66" s="24" t="s">
        <v>21</v>
      </c>
      <c r="Z66" s="24">
        <f>X66*0.1</f>
        <v>118.8</v>
      </c>
      <c r="AA66" s="24"/>
      <c r="AB66" s="69">
        <v>1237.3</v>
      </c>
      <c r="AC66" s="69">
        <v>1455.95</v>
      </c>
      <c r="AD66" s="69">
        <v>503.82</v>
      </c>
      <c r="AE66" s="69">
        <f t="shared" ref="AE66:AE103" si="28">AD66-AB66</f>
        <v>-733.48</v>
      </c>
      <c r="AF66" s="69" t="s">
        <v>224</v>
      </c>
      <c r="AG66" s="69">
        <f t="shared" si="25"/>
        <v>25.191</v>
      </c>
      <c r="AH66" s="69">
        <f t="shared" si="26"/>
        <v>-29.3392</v>
      </c>
      <c r="AI66" s="69">
        <f t="shared" si="17"/>
        <v>615</v>
      </c>
      <c r="AJ66" s="69">
        <f t="shared" si="18"/>
        <v>-36</v>
      </c>
    </row>
    <row r="67" spans="1:36">
      <c r="A67" s="68">
        <v>65</v>
      </c>
      <c r="B67" s="71">
        <v>337</v>
      </c>
      <c r="C67" s="68" t="s">
        <v>167</v>
      </c>
      <c r="D67" s="68" t="s">
        <v>92</v>
      </c>
      <c r="E67" s="68" t="s">
        <v>149</v>
      </c>
      <c r="F67" s="69">
        <v>29</v>
      </c>
      <c r="G67" s="69">
        <v>35</v>
      </c>
      <c r="H67" s="69">
        <v>5</v>
      </c>
      <c r="I67" s="69">
        <f t="shared" si="15"/>
        <v>-24</v>
      </c>
      <c r="J67" s="69" t="s">
        <v>224</v>
      </c>
      <c r="K67" s="69">
        <f t="shared" si="23"/>
        <v>5</v>
      </c>
      <c r="L67" s="69">
        <f t="shared" si="24"/>
        <v>-24</v>
      </c>
      <c r="M67" s="69">
        <v>354</v>
      </c>
      <c r="N67" s="69">
        <v>382</v>
      </c>
      <c r="O67" s="69">
        <v>300</v>
      </c>
      <c r="P67" s="69">
        <f t="shared" si="27"/>
        <v>-54</v>
      </c>
      <c r="Q67" s="69" t="s">
        <v>224</v>
      </c>
      <c r="R67" s="69">
        <f>O67*0.8</f>
        <v>240</v>
      </c>
      <c r="S67" s="69">
        <f>P67*0.6</f>
        <v>-32.4</v>
      </c>
      <c r="T67" s="24">
        <v>10</v>
      </c>
      <c r="U67" s="24">
        <f t="shared" si="20"/>
        <v>11</v>
      </c>
      <c r="V67" s="24">
        <v>9</v>
      </c>
      <c r="W67" s="24">
        <f t="shared" si="16"/>
        <v>-1</v>
      </c>
      <c r="X67" s="24">
        <f>VLOOKUP(B:B,'[4]SQL Results'!$B$1:$P$65536,15,0)</f>
        <v>1188</v>
      </c>
      <c r="Y67" s="24" t="s">
        <v>224</v>
      </c>
      <c r="Z67" s="24">
        <f>X67*0.05</f>
        <v>59.4</v>
      </c>
      <c r="AA67" s="24"/>
      <c r="AB67" s="69">
        <v>15501.09</v>
      </c>
      <c r="AC67" s="69">
        <v>16141.18</v>
      </c>
      <c r="AD67" s="69">
        <v>13525.1</v>
      </c>
      <c r="AE67" s="69">
        <f t="shared" si="28"/>
        <v>-1975.99</v>
      </c>
      <c r="AF67" s="69" t="s">
        <v>224</v>
      </c>
      <c r="AG67" s="69">
        <f t="shared" si="25"/>
        <v>676.255</v>
      </c>
      <c r="AH67" s="69">
        <f t="shared" si="26"/>
        <v>-79.0396</v>
      </c>
      <c r="AI67" s="69">
        <f t="shared" si="17"/>
        <v>981</v>
      </c>
      <c r="AJ67" s="69">
        <f t="shared" si="18"/>
        <v>-135</v>
      </c>
    </row>
    <row r="68" spans="1:36">
      <c r="A68" s="68">
        <v>66</v>
      </c>
      <c r="B68" s="70">
        <v>341</v>
      </c>
      <c r="C68" s="70" t="s">
        <v>168</v>
      </c>
      <c r="D68" s="70" t="s">
        <v>92</v>
      </c>
      <c r="E68" s="70" t="s">
        <v>169</v>
      </c>
      <c r="F68" s="69">
        <v>22</v>
      </c>
      <c r="G68" s="69">
        <v>26</v>
      </c>
      <c r="H68" s="69">
        <v>6</v>
      </c>
      <c r="I68" s="69">
        <f t="shared" ref="I68:I103" si="29">H68-F68</f>
        <v>-16</v>
      </c>
      <c r="J68" s="69" t="s">
        <v>224</v>
      </c>
      <c r="K68" s="69">
        <f t="shared" si="23"/>
        <v>6</v>
      </c>
      <c r="L68" s="69">
        <f t="shared" si="24"/>
        <v>-16</v>
      </c>
      <c r="M68" s="69">
        <v>64</v>
      </c>
      <c r="N68" s="69">
        <v>83</v>
      </c>
      <c r="O68" s="69">
        <v>112</v>
      </c>
      <c r="P68" s="69">
        <f t="shared" si="27"/>
        <v>48</v>
      </c>
      <c r="Q68" s="69" t="s">
        <v>21</v>
      </c>
      <c r="R68" s="69">
        <f>O68*2.5</f>
        <v>280</v>
      </c>
      <c r="S68" s="69"/>
      <c r="T68" s="24">
        <v>6</v>
      </c>
      <c r="U68" s="24">
        <f t="shared" ref="U68:U102" si="30">T68+1</f>
        <v>7</v>
      </c>
      <c r="V68" s="24">
        <v>7</v>
      </c>
      <c r="W68" s="24">
        <f t="shared" ref="W68:W103" si="31">V68-T68</f>
        <v>1</v>
      </c>
      <c r="X68" s="24">
        <f>VLOOKUP(B:B,'[4]SQL Results'!$B$1:$P$65536,15,0)</f>
        <v>970.2</v>
      </c>
      <c r="Y68" s="24" t="s">
        <v>21</v>
      </c>
      <c r="Z68" s="24">
        <f>X68*0.1</f>
        <v>97.02</v>
      </c>
      <c r="AA68" s="24"/>
      <c r="AB68" s="69">
        <v>25600.62</v>
      </c>
      <c r="AC68" s="69">
        <v>26280.65</v>
      </c>
      <c r="AD68" s="69">
        <v>15478.71</v>
      </c>
      <c r="AE68" s="69">
        <f t="shared" si="28"/>
        <v>-10121.91</v>
      </c>
      <c r="AF68" s="69" t="s">
        <v>224</v>
      </c>
      <c r="AG68" s="69">
        <f t="shared" si="25"/>
        <v>773.9355</v>
      </c>
      <c r="AH68" s="69">
        <f t="shared" si="26"/>
        <v>-404.8764</v>
      </c>
      <c r="AI68" s="69">
        <f t="shared" ref="AI68:AI103" si="32">ROUND(K68+R68+Z68+AG68,0)</f>
        <v>1157</v>
      </c>
      <c r="AJ68" s="69">
        <f t="shared" ref="AJ68:AJ103" si="33">ROUND(L68+S68+AA68+AH68,0)</f>
        <v>-421</v>
      </c>
    </row>
    <row r="69" spans="1:36">
      <c r="A69" s="68">
        <v>67</v>
      </c>
      <c r="B69" s="68">
        <v>514</v>
      </c>
      <c r="C69" s="68" t="s">
        <v>170</v>
      </c>
      <c r="D69" s="68" t="s">
        <v>95</v>
      </c>
      <c r="E69" s="68" t="s">
        <v>169</v>
      </c>
      <c r="F69" s="69">
        <v>20</v>
      </c>
      <c r="G69" s="69">
        <v>24</v>
      </c>
      <c r="H69" s="69">
        <v>8</v>
      </c>
      <c r="I69" s="69">
        <f t="shared" si="29"/>
        <v>-12</v>
      </c>
      <c r="J69" s="69" t="s">
        <v>224</v>
      </c>
      <c r="K69" s="69">
        <f t="shared" si="23"/>
        <v>8</v>
      </c>
      <c r="L69" s="69">
        <f t="shared" si="24"/>
        <v>-12</v>
      </c>
      <c r="M69" s="69">
        <v>226</v>
      </c>
      <c r="N69" s="69">
        <v>246</v>
      </c>
      <c r="O69" s="69">
        <v>202</v>
      </c>
      <c r="P69" s="69">
        <f t="shared" si="27"/>
        <v>-24</v>
      </c>
      <c r="Q69" s="69" t="s">
        <v>224</v>
      </c>
      <c r="R69" s="69">
        <f>O69*0.8</f>
        <v>161.6</v>
      </c>
      <c r="S69" s="69">
        <f>P69*0.6</f>
        <v>-14.4</v>
      </c>
      <c r="T69" s="24">
        <v>4</v>
      </c>
      <c r="U69" s="24">
        <f t="shared" si="30"/>
        <v>5</v>
      </c>
      <c r="V69" s="24">
        <v>0</v>
      </c>
      <c r="W69" s="24">
        <f t="shared" si="31"/>
        <v>-4</v>
      </c>
      <c r="X69" s="24" t="str">
        <f>VLOOKUP(B:B,'[4]SQL Results'!$B$1:$P$65536,15,0)</f>
        <v/>
      </c>
      <c r="Y69" s="24" t="s">
        <v>224</v>
      </c>
      <c r="Z69" s="24"/>
      <c r="AA69" s="24">
        <f>W69*5</f>
        <v>-20</v>
      </c>
      <c r="AB69" s="69">
        <v>5638.57</v>
      </c>
      <c r="AC69" s="69">
        <v>6266.28</v>
      </c>
      <c r="AD69" s="69">
        <v>3932.64</v>
      </c>
      <c r="AE69" s="69">
        <f t="shared" si="28"/>
        <v>-1705.93</v>
      </c>
      <c r="AF69" s="69" t="s">
        <v>224</v>
      </c>
      <c r="AG69" s="69">
        <f t="shared" si="25"/>
        <v>196.632</v>
      </c>
      <c r="AH69" s="69">
        <f t="shared" si="26"/>
        <v>-68.2372</v>
      </c>
      <c r="AI69" s="69">
        <f t="shared" si="32"/>
        <v>366</v>
      </c>
      <c r="AJ69" s="69">
        <f t="shared" si="33"/>
        <v>-115</v>
      </c>
    </row>
    <row r="70" spans="1:36">
      <c r="A70" s="68">
        <v>68</v>
      </c>
      <c r="B70" s="68">
        <v>746</v>
      </c>
      <c r="C70" s="68" t="s">
        <v>171</v>
      </c>
      <c r="D70" s="68" t="s">
        <v>109</v>
      </c>
      <c r="E70" s="68" t="s">
        <v>169</v>
      </c>
      <c r="F70" s="69">
        <v>14</v>
      </c>
      <c r="G70" s="69">
        <v>18</v>
      </c>
      <c r="H70" s="69">
        <v>15</v>
      </c>
      <c r="I70" s="69">
        <f t="shared" si="29"/>
        <v>1</v>
      </c>
      <c r="J70" s="69" t="s">
        <v>20</v>
      </c>
      <c r="K70" s="69">
        <f>H70*2.5</f>
        <v>37.5</v>
      </c>
      <c r="L70" s="69"/>
      <c r="M70" s="69">
        <v>74</v>
      </c>
      <c r="N70" s="69">
        <v>96</v>
      </c>
      <c r="O70" s="69">
        <v>109</v>
      </c>
      <c r="P70" s="69">
        <f t="shared" si="27"/>
        <v>35</v>
      </c>
      <c r="Q70" s="69" t="s">
        <v>21</v>
      </c>
      <c r="R70" s="69">
        <f>O70*2.5</f>
        <v>272.5</v>
      </c>
      <c r="S70" s="69"/>
      <c r="T70" s="24">
        <v>4</v>
      </c>
      <c r="U70" s="24">
        <f t="shared" si="30"/>
        <v>5</v>
      </c>
      <c r="V70" s="24">
        <v>2</v>
      </c>
      <c r="W70" s="24">
        <f t="shared" si="31"/>
        <v>-2</v>
      </c>
      <c r="X70" s="24">
        <f>VLOOKUP(B:B,'[4]SQL Results'!$B$1:$P$65536,15,0)</f>
        <v>396</v>
      </c>
      <c r="Y70" s="24" t="s">
        <v>224</v>
      </c>
      <c r="Z70" s="24">
        <f>X70*0.05</f>
        <v>19.8</v>
      </c>
      <c r="AA70" s="24"/>
      <c r="AB70" s="69">
        <v>1113.25</v>
      </c>
      <c r="AC70" s="69">
        <v>1369.88</v>
      </c>
      <c r="AD70" s="69">
        <v>1105.5</v>
      </c>
      <c r="AE70" s="69">
        <f t="shared" si="28"/>
        <v>-7.75</v>
      </c>
      <c r="AF70" s="69" t="s">
        <v>224</v>
      </c>
      <c r="AG70" s="69">
        <f t="shared" si="25"/>
        <v>55.275</v>
      </c>
      <c r="AH70" s="69">
        <f t="shared" si="26"/>
        <v>-0.31</v>
      </c>
      <c r="AI70" s="69">
        <f t="shared" si="32"/>
        <v>385</v>
      </c>
      <c r="AJ70" s="69">
        <f t="shared" si="33"/>
        <v>0</v>
      </c>
    </row>
    <row r="71" spans="1:36">
      <c r="A71" s="68">
        <v>69</v>
      </c>
      <c r="B71" s="68">
        <v>385</v>
      </c>
      <c r="C71" s="68" t="s">
        <v>172</v>
      </c>
      <c r="D71" s="68" t="s">
        <v>92</v>
      </c>
      <c r="E71" s="68" t="s">
        <v>169</v>
      </c>
      <c r="F71" s="69">
        <v>27</v>
      </c>
      <c r="G71" s="69">
        <v>32</v>
      </c>
      <c r="H71" s="69">
        <v>0</v>
      </c>
      <c r="I71" s="69">
        <f t="shared" si="29"/>
        <v>-27</v>
      </c>
      <c r="J71" s="69" t="s">
        <v>224</v>
      </c>
      <c r="K71" s="69">
        <f>H71*1</f>
        <v>0</v>
      </c>
      <c r="L71" s="69">
        <f>I71*1</f>
        <v>-27</v>
      </c>
      <c r="M71" s="69">
        <v>56</v>
      </c>
      <c r="N71" s="69">
        <v>73</v>
      </c>
      <c r="O71" s="69">
        <v>98</v>
      </c>
      <c r="P71" s="69">
        <f t="shared" si="27"/>
        <v>42</v>
      </c>
      <c r="Q71" s="69" t="s">
        <v>21</v>
      </c>
      <c r="R71" s="69">
        <f>O71*2.5</f>
        <v>245</v>
      </c>
      <c r="S71" s="69"/>
      <c r="T71" s="24">
        <v>4</v>
      </c>
      <c r="U71" s="24">
        <f t="shared" si="30"/>
        <v>5</v>
      </c>
      <c r="V71" s="24">
        <v>5</v>
      </c>
      <c r="W71" s="24">
        <f t="shared" si="31"/>
        <v>1</v>
      </c>
      <c r="X71" s="24">
        <f>VLOOKUP(B:B,'[4]SQL Results'!$B$1:$P$65536,15,0)</f>
        <v>594</v>
      </c>
      <c r="Y71" s="24" t="s">
        <v>21</v>
      </c>
      <c r="Z71" s="24">
        <f>X71*0.1</f>
        <v>59.4</v>
      </c>
      <c r="AA71" s="24"/>
      <c r="AB71" s="69">
        <v>1236.5</v>
      </c>
      <c r="AC71" s="69">
        <v>1454.75</v>
      </c>
      <c r="AD71" s="69">
        <v>2720</v>
      </c>
      <c r="AE71" s="69">
        <f t="shared" si="28"/>
        <v>1483.5</v>
      </c>
      <c r="AF71" s="69" t="s">
        <v>21</v>
      </c>
      <c r="AG71" s="69">
        <f>AD71*0.09</f>
        <v>244.8</v>
      </c>
      <c r="AH71" s="69"/>
      <c r="AI71" s="69">
        <f t="shared" si="32"/>
        <v>549</v>
      </c>
      <c r="AJ71" s="69">
        <f t="shared" si="33"/>
        <v>-27</v>
      </c>
    </row>
    <row r="72" spans="1:36">
      <c r="A72" s="68">
        <v>70</v>
      </c>
      <c r="B72" s="68">
        <v>721</v>
      </c>
      <c r="C72" s="68" t="s">
        <v>173</v>
      </c>
      <c r="D72" s="68" t="s">
        <v>109</v>
      </c>
      <c r="E72" s="68" t="s">
        <v>169</v>
      </c>
      <c r="F72" s="69">
        <v>14</v>
      </c>
      <c r="G72" s="69">
        <v>18</v>
      </c>
      <c r="H72" s="69">
        <v>12</v>
      </c>
      <c r="I72" s="69">
        <f t="shared" si="29"/>
        <v>-2</v>
      </c>
      <c r="J72" s="69" t="s">
        <v>224</v>
      </c>
      <c r="K72" s="69">
        <f>H72*1</f>
        <v>12</v>
      </c>
      <c r="L72" s="69">
        <f>I72*1</f>
        <v>-2</v>
      </c>
      <c r="M72" s="69">
        <v>150</v>
      </c>
      <c r="N72" s="69">
        <v>170</v>
      </c>
      <c r="O72" s="69">
        <v>146</v>
      </c>
      <c r="P72" s="69">
        <f t="shared" si="27"/>
        <v>-4</v>
      </c>
      <c r="Q72" s="69" t="s">
        <v>224</v>
      </c>
      <c r="R72" s="69">
        <f>O72*0.8</f>
        <v>116.8</v>
      </c>
      <c r="S72" s="69">
        <f>P72*0.6</f>
        <v>-2.4</v>
      </c>
      <c r="T72" s="24">
        <v>4</v>
      </c>
      <c r="U72" s="24">
        <f t="shared" si="30"/>
        <v>5</v>
      </c>
      <c r="V72" s="24">
        <v>1</v>
      </c>
      <c r="W72" s="24">
        <f t="shared" si="31"/>
        <v>-3</v>
      </c>
      <c r="X72" s="24">
        <f>VLOOKUP(B:B,'[4]SQL Results'!$B$1:$P$65536,15,0)</f>
        <v>198</v>
      </c>
      <c r="Y72" s="24" t="s">
        <v>224</v>
      </c>
      <c r="Z72" s="24">
        <f>X72*0.05</f>
        <v>9.9</v>
      </c>
      <c r="AA72" s="24"/>
      <c r="AB72" s="69">
        <v>3023</v>
      </c>
      <c r="AC72" s="69">
        <v>3529.9</v>
      </c>
      <c r="AD72" s="69">
        <v>2100.39</v>
      </c>
      <c r="AE72" s="69">
        <f t="shared" si="28"/>
        <v>-922.61</v>
      </c>
      <c r="AF72" s="69" t="s">
        <v>224</v>
      </c>
      <c r="AG72" s="69">
        <f>AD72*0.05</f>
        <v>105.0195</v>
      </c>
      <c r="AH72" s="69">
        <f>AE72*0.04</f>
        <v>-36.9044</v>
      </c>
      <c r="AI72" s="69">
        <f t="shared" si="32"/>
        <v>244</v>
      </c>
      <c r="AJ72" s="69">
        <f t="shared" si="33"/>
        <v>-41</v>
      </c>
    </row>
    <row r="73" spans="1:36">
      <c r="A73" s="68">
        <v>71</v>
      </c>
      <c r="B73" s="68">
        <v>717</v>
      </c>
      <c r="C73" s="68" t="s">
        <v>174</v>
      </c>
      <c r="D73" s="68" t="s">
        <v>109</v>
      </c>
      <c r="E73" s="68" t="s">
        <v>169</v>
      </c>
      <c r="F73" s="69">
        <v>4</v>
      </c>
      <c r="G73" s="69">
        <v>6</v>
      </c>
      <c r="H73" s="69">
        <v>3</v>
      </c>
      <c r="I73" s="69">
        <f t="shared" si="29"/>
        <v>-1</v>
      </c>
      <c r="J73" s="69" t="s">
        <v>224</v>
      </c>
      <c r="K73" s="69">
        <f>H73*1</f>
        <v>3</v>
      </c>
      <c r="L73" s="69">
        <f>I73*1</f>
        <v>-1</v>
      </c>
      <c r="M73" s="69">
        <v>70</v>
      </c>
      <c r="N73" s="69">
        <v>91</v>
      </c>
      <c r="O73" s="69">
        <v>62</v>
      </c>
      <c r="P73" s="69">
        <f t="shared" si="27"/>
        <v>-8</v>
      </c>
      <c r="Q73" s="69" t="s">
        <v>224</v>
      </c>
      <c r="R73" s="69">
        <f>O73*0.8</f>
        <v>49.6</v>
      </c>
      <c r="S73" s="69">
        <f>P73*0.6</f>
        <v>-4.8</v>
      </c>
      <c r="T73" s="24">
        <v>4</v>
      </c>
      <c r="U73" s="24">
        <f t="shared" si="30"/>
        <v>5</v>
      </c>
      <c r="V73" s="24">
        <v>0</v>
      </c>
      <c r="W73" s="24">
        <f t="shared" si="31"/>
        <v>-4</v>
      </c>
      <c r="X73" s="24" t="str">
        <f>VLOOKUP(B:B,'[4]SQL Results'!$B$1:$P$65536,15,0)</f>
        <v/>
      </c>
      <c r="Y73" s="24" t="s">
        <v>224</v>
      </c>
      <c r="Z73" s="24"/>
      <c r="AA73" s="24">
        <f>W73*5</f>
        <v>-20</v>
      </c>
      <c r="AB73" s="69">
        <v>1234.13</v>
      </c>
      <c r="AC73" s="69">
        <v>1451.2</v>
      </c>
      <c r="AD73" s="69">
        <v>2444.94</v>
      </c>
      <c r="AE73" s="69">
        <f t="shared" si="28"/>
        <v>1210.81</v>
      </c>
      <c r="AF73" s="69" t="s">
        <v>21</v>
      </c>
      <c r="AG73" s="69">
        <f>AD73*0.09</f>
        <v>220.0446</v>
      </c>
      <c r="AH73" s="69"/>
      <c r="AI73" s="69">
        <f t="shared" si="32"/>
        <v>273</v>
      </c>
      <c r="AJ73" s="69">
        <f t="shared" si="33"/>
        <v>-26</v>
      </c>
    </row>
    <row r="74" spans="1:36">
      <c r="A74" s="68">
        <v>72</v>
      </c>
      <c r="B74" s="68">
        <v>591</v>
      </c>
      <c r="C74" s="68" t="s">
        <v>175</v>
      </c>
      <c r="D74" s="68" t="s">
        <v>109</v>
      </c>
      <c r="E74" s="68" t="s">
        <v>169</v>
      </c>
      <c r="F74" s="69">
        <v>14</v>
      </c>
      <c r="G74" s="69">
        <v>18</v>
      </c>
      <c r="H74" s="69">
        <v>2</v>
      </c>
      <c r="I74" s="69">
        <f t="shared" si="29"/>
        <v>-12</v>
      </c>
      <c r="J74" s="69" t="s">
        <v>224</v>
      </c>
      <c r="K74" s="69">
        <f>H74*1</f>
        <v>2</v>
      </c>
      <c r="L74" s="69">
        <f>I74*1</f>
        <v>-12</v>
      </c>
      <c r="M74" s="69">
        <v>154</v>
      </c>
      <c r="N74" s="69">
        <v>174</v>
      </c>
      <c r="O74" s="69">
        <v>95</v>
      </c>
      <c r="P74" s="69">
        <f t="shared" si="27"/>
        <v>-59</v>
      </c>
      <c r="Q74" s="69" t="s">
        <v>224</v>
      </c>
      <c r="R74" s="69">
        <f>O74*0.8</f>
        <v>76</v>
      </c>
      <c r="S74" s="69">
        <f>P74*0.6</f>
        <v>-35.4</v>
      </c>
      <c r="T74" s="24">
        <v>4</v>
      </c>
      <c r="U74" s="24">
        <f t="shared" si="30"/>
        <v>5</v>
      </c>
      <c r="V74" s="24">
        <v>4</v>
      </c>
      <c r="W74" s="24">
        <f t="shared" si="31"/>
        <v>0</v>
      </c>
      <c r="X74" s="24">
        <f>VLOOKUP(B:B,'[4]SQL Results'!$B$1:$P$65536,15,0)</f>
        <v>594.01</v>
      </c>
      <c r="Y74" s="24" t="s">
        <v>20</v>
      </c>
      <c r="Z74" s="24">
        <f>X74*0.08</f>
        <v>47.5208</v>
      </c>
      <c r="AA74" s="24"/>
      <c r="AB74" s="69">
        <v>3917.11</v>
      </c>
      <c r="AC74" s="69">
        <v>4592.24</v>
      </c>
      <c r="AD74" s="69">
        <v>2186.5</v>
      </c>
      <c r="AE74" s="69">
        <f t="shared" si="28"/>
        <v>-1730.61</v>
      </c>
      <c r="AF74" s="69" t="s">
        <v>224</v>
      </c>
      <c r="AG74" s="69">
        <f>AD74*0.05</f>
        <v>109.325</v>
      </c>
      <c r="AH74" s="69">
        <f>AE74*0.04</f>
        <v>-69.2244</v>
      </c>
      <c r="AI74" s="69">
        <f t="shared" si="32"/>
        <v>235</v>
      </c>
      <c r="AJ74" s="69">
        <f t="shared" si="33"/>
        <v>-117</v>
      </c>
    </row>
    <row r="75" spans="1:36">
      <c r="A75" s="68">
        <v>73</v>
      </c>
      <c r="B75" s="68">
        <v>748</v>
      </c>
      <c r="C75" s="68" t="s">
        <v>176</v>
      </c>
      <c r="D75" s="68" t="s">
        <v>113</v>
      </c>
      <c r="E75" s="68" t="s">
        <v>169</v>
      </c>
      <c r="F75" s="69">
        <v>9</v>
      </c>
      <c r="G75" s="69">
        <v>13</v>
      </c>
      <c r="H75" s="69">
        <v>15</v>
      </c>
      <c r="I75" s="69">
        <f t="shared" si="29"/>
        <v>6</v>
      </c>
      <c r="J75" s="69" t="s">
        <v>21</v>
      </c>
      <c r="K75" s="69">
        <f>H75*3.5</f>
        <v>52.5</v>
      </c>
      <c r="L75" s="69"/>
      <c r="M75" s="69">
        <v>40</v>
      </c>
      <c r="N75" s="69">
        <v>52</v>
      </c>
      <c r="O75" s="69">
        <v>69</v>
      </c>
      <c r="P75" s="69">
        <f t="shared" si="27"/>
        <v>29</v>
      </c>
      <c r="Q75" s="69" t="s">
        <v>21</v>
      </c>
      <c r="R75" s="69">
        <f>O75*2.5</f>
        <v>172.5</v>
      </c>
      <c r="S75" s="69"/>
      <c r="T75" s="24">
        <v>4</v>
      </c>
      <c r="U75" s="24">
        <f t="shared" si="30"/>
        <v>5</v>
      </c>
      <c r="V75" s="24">
        <v>3</v>
      </c>
      <c r="W75" s="24">
        <f t="shared" si="31"/>
        <v>-1</v>
      </c>
      <c r="X75" s="24">
        <f>VLOOKUP(B:B,'[4]SQL Results'!$B$1:$P$65536,15,0)</f>
        <v>396</v>
      </c>
      <c r="Y75" s="24" t="s">
        <v>224</v>
      </c>
      <c r="Z75" s="24">
        <f t="shared" ref="Z75:Z80" si="34">X75*0.05</f>
        <v>19.8</v>
      </c>
      <c r="AA75" s="24"/>
      <c r="AB75" s="69">
        <v>3786.1</v>
      </c>
      <c r="AC75" s="69">
        <v>4421.93</v>
      </c>
      <c r="AD75" s="69">
        <v>1129.5</v>
      </c>
      <c r="AE75" s="69">
        <f t="shared" si="28"/>
        <v>-2656.6</v>
      </c>
      <c r="AF75" s="69" t="s">
        <v>224</v>
      </c>
      <c r="AG75" s="69">
        <f>AD75*0.05</f>
        <v>56.475</v>
      </c>
      <c r="AH75" s="69">
        <f>AE75*0.04</f>
        <v>-106.264</v>
      </c>
      <c r="AI75" s="69">
        <f t="shared" si="32"/>
        <v>301</v>
      </c>
      <c r="AJ75" s="69">
        <f t="shared" si="33"/>
        <v>-106</v>
      </c>
    </row>
    <row r="76" spans="1:36">
      <c r="A76" s="68">
        <v>74</v>
      </c>
      <c r="B76" s="68">
        <v>371</v>
      </c>
      <c r="C76" s="68" t="s">
        <v>177</v>
      </c>
      <c r="D76" s="68" t="s">
        <v>139</v>
      </c>
      <c r="E76" s="68" t="s">
        <v>169</v>
      </c>
      <c r="F76" s="69">
        <v>4</v>
      </c>
      <c r="G76" s="69">
        <v>6</v>
      </c>
      <c r="H76" s="69">
        <v>0</v>
      </c>
      <c r="I76" s="69">
        <f t="shared" si="29"/>
        <v>-4</v>
      </c>
      <c r="J76" s="69" t="s">
        <v>224</v>
      </c>
      <c r="K76" s="69">
        <f>H76*1</f>
        <v>0</v>
      </c>
      <c r="L76" s="69">
        <f>I76*1</f>
        <v>-4</v>
      </c>
      <c r="M76" s="69">
        <v>82</v>
      </c>
      <c r="N76" s="69">
        <v>107</v>
      </c>
      <c r="O76" s="69">
        <v>59</v>
      </c>
      <c r="P76" s="69">
        <f t="shared" si="27"/>
        <v>-23</v>
      </c>
      <c r="Q76" s="69" t="s">
        <v>224</v>
      </c>
      <c r="R76" s="69">
        <f>O76*0.8</f>
        <v>47.2</v>
      </c>
      <c r="S76" s="69">
        <f>P76*0.6</f>
        <v>-13.8</v>
      </c>
      <c r="T76" s="24">
        <v>4</v>
      </c>
      <c r="U76" s="24">
        <f t="shared" si="30"/>
        <v>5</v>
      </c>
      <c r="V76" s="24">
        <v>1</v>
      </c>
      <c r="W76" s="24">
        <f t="shared" si="31"/>
        <v>-3</v>
      </c>
      <c r="X76" s="24">
        <f>VLOOKUP(B:B,'[4]SQL Results'!$B$1:$P$65536,15,0)</f>
        <v>198</v>
      </c>
      <c r="Y76" s="24" t="s">
        <v>224</v>
      </c>
      <c r="Z76" s="24">
        <f t="shared" si="34"/>
        <v>9.9</v>
      </c>
      <c r="AA76" s="24"/>
      <c r="AB76" s="69">
        <v>2468.86</v>
      </c>
      <c r="AC76" s="69">
        <v>3056.4</v>
      </c>
      <c r="AD76" s="69">
        <v>1314</v>
      </c>
      <c r="AE76" s="69">
        <f t="shared" si="28"/>
        <v>-1154.86</v>
      </c>
      <c r="AF76" s="69" t="s">
        <v>224</v>
      </c>
      <c r="AG76" s="69">
        <f>AD76*0.05</f>
        <v>65.7</v>
      </c>
      <c r="AH76" s="69">
        <f>AE76*0.04</f>
        <v>-46.1944</v>
      </c>
      <c r="AI76" s="69">
        <f t="shared" si="32"/>
        <v>123</v>
      </c>
      <c r="AJ76" s="69">
        <f t="shared" si="33"/>
        <v>-64</v>
      </c>
    </row>
    <row r="77" s="61" customFormat="1" spans="1:36">
      <c r="A77" s="74">
        <v>75</v>
      </c>
      <c r="B77" s="74">
        <v>539</v>
      </c>
      <c r="C77" s="74" t="s">
        <v>178</v>
      </c>
      <c r="D77" s="74" t="s">
        <v>139</v>
      </c>
      <c r="E77" s="74" t="s">
        <v>169</v>
      </c>
      <c r="F77" s="75">
        <f>12/2</f>
        <v>6</v>
      </c>
      <c r="G77" s="75">
        <f>16/2</f>
        <v>8</v>
      </c>
      <c r="H77" s="75">
        <v>9</v>
      </c>
      <c r="I77" s="75">
        <f t="shared" si="29"/>
        <v>3</v>
      </c>
      <c r="J77" s="75" t="s">
        <v>21</v>
      </c>
      <c r="K77" s="75">
        <f>H77*3.5</f>
        <v>31.5</v>
      </c>
      <c r="L77" s="75"/>
      <c r="M77" s="75">
        <f>40/2</f>
        <v>20</v>
      </c>
      <c r="N77" s="75">
        <v>52</v>
      </c>
      <c r="O77" s="75">
        <v>14</v>
      </c>
      <c r="P77" s="75">
        <f t="shared" si="27"/>
        <v>-6</v>
      </c>
      <c r="Q77" s="75" t="s">
        <v>224</v>
      </c>
      <c r="R77" s="75">
        <f>O77*0.8</f>
        <v>11.2</v>
      </c>
      <c r="S77" s="75">
        <f>P77*0.6</f>
        <v>-3.6</v>
      </c>
      <c r="T77" s="78">
        <f>4/2</f>
        <v>2</v>
      </c>
      <c r="U77" s="78">
        <f t="shared" si="30"/>
        <v>3</v>
      </c>
      <c r="V77" s="78">
        <v>0</v>
      </c>
      <c r="W77" s="78">
        <f t="shared" si="31"/>
        <v>-2</v>
      </c>
      <c r="X77" s="78" t="str">
        <f>VLOOKUP(B:B,'[4]SQL Results'!$B$1:$P$65536,15,0)</f>
        <v/>
      </c>
      <c r="Y77" s="78" t="s">
        <v>224</v>
      </c>
      <c r="Z77" s="78"/>
      <c r="AA77" s="78">
        <f>W77*5</f>
        <v>-10</v>
      </c>
      <c r="AB77" s="75">
        <f>2910.71/2</f>
        <v>1455.355</v>
      </c>
      <c r="AC77" s="75">
        <f>3574.99/2</f>
        <v>1787.495</v>
      </c>
      <c r="AD77" s="75">
        <v>3058.04</v>
      </c>
      <c r="AE77" s="75">
        <f t="shared" si="28"/>
        <v>1602.685</v>
      </c>
      <c r="AF77" s="75" t="s">
        <v>21</v>
      </c>
      <c r="AG77" s="75">
        <f>AD77*0.09</f>
        <v>275.2236</v>
      </c>
      <c r="AH77" s="75"/>
      <c r="AI77" s="75">
        <f t="shared" si="32"/>
        <v>318</v>
      </c>
      <c r="AJ77" s="75">
        <f t="shared" si="33"/>
        <v>-14</v>
      </c>
    </row>
    <row r="78" spans="1:36">
      <c r="A78" s="68">
        <v>76</v>
      </c>
      <c r="B78" s="68">
        <v>720</v>
      </c>
      <c r="C78" s="68" t="s">
        <v>179</v>
      </c>
      <c r="D78" s="68" t="s">
        <v>113</v>
      </c>
      <c r="E78" s="68" t="s">
        <v>169</v>
      </c>
      <c r="F78" s="69">
        <v>6</v>
      </c>
      <c r="G78" s="69">
        <v>8</v>
      </c>
      <c r="H78" s="69">
        <v>0</v>
      </c>
      <c r="I78" s="69">
        <f t="shared" si="29"/>
        <v>-6</v>
      </c>
      <c r="J78" s="69" t="s">
        <v>224</v>
      </c>
      <c r="K78" s="69">
        <f>H78*1</f>
        <v>0</v>
      </c>
      <c r="L78" s="69">
        <f>I78*1</f>
        <v>-6</v>
      </c>
      <c r="M78" s="69">
        <v>54</v>
      </c>
      <c r="N78" s="69">
        <v>70</v>
      </c>
      <c r="O78" s="69">
        <v>45</v>
      </c>
      <c r="P78" s="69">
        <f t="shared" si="27"/>
        <v>-9</v>
      </c>
      <c r="Q78" s="69" t="s">
        <v>224</v>
      </c>
      <c r="R78" s="69">
        <f>O78*0.8</f>
        <v>36</v>
      </c>
      <c r="S78" s="69">
        <f>P78*0.6</f>
        <v>-5.4</v>
      </c>
      <c r="T78" s="24">
        <v>4</v>
      </c>
      <c r="U78" s="24">
        <f t="shared" si="30"/>
        <v>5</v>
      </c>
      <c r="V78" s="24">
        <v>0</v>
      </c>
      <c r="W78" s="24">
        <f t="shared" si="31"/>
        <v>-4</v>
      </c>
      <c r="X78" s="24" t="str">
        <f>VLOOKUP(B:B,'[4]SQL Results'!$B$1:$P$65536,15,0)</f>
        <v/>
      </c>
      <c r="Y78" s="24" t="s">
        <v>224</v>
      </c>
      <c r="Z78" s="24"/>
      <c r="AA78" s="24">
        <f>W78*5</f>
        <v>-20</v>
      </c>
      <c r="AB78" s="69">
        <v>3182.24</v>
      </c>
      <c r="AC78" s="69">
        <v>3736.91</v>
      </c>
      <c r="AD78" s="69">
        <v>751</v>
      </c>
      <c r="AE78" s="69">
        <f t="shared" si="28"/>
        <v>-2431.24</v>
      </c>
      <c r="AF78" s="69" t="s">
        <v>224</v>
      </c>
      <c r="AG78" s="69">
        <f>AD78*0.05</f>
        <v>37.55</v>
      </c>
      <c r="AH78" s="69">
        <f>AE78*0.04</f>
        <v>-97.2496</v>
      </c>
      <c r="AI78" s="69">
        <f t="shared" si="32"/>
        <v>74</v>
      </c>
      <c r="AJ78" s="69">
        <f t="shared" si="33"/>
        <v>-129</v>
      </c>
    </row>
    <row r="79" spans="1:36">
      <c r="A79" s="68">
        <v>77</v>
      </c>
      <c r="B79" s="68">
        <v>594</v>
      </c>
      <c r="C79" s="68" t="s">
        <v>180</v>
      </c>
      <c r="D79" s="68" t="s">
        <v>113</v>
      </c>
      <c r="E79" s="68" t="s">
        <v>169</v>
      </c>
      <c r="F79" s="69">
        <v>7</v>
      </c>
      <c r="G79" s="69">
        <v>10</v>
      </c>
      <c r="H79" s="69">
        <v>2</v>
      </c>
      <c r="I79" s="69">
        <f t="shared" si="29"/>
        <v>-5</v>
      </c>
      <c r="J79" s="69" t="s">
        <v>224</v>
      </c>
      <c r="K79" s="69">
        <f>H79*1</f>
        <v>2</v>
      </c>
      <c r="L79" s="69">
        <f>I79*1</f>
        <v>-5</v>
      </c>
      <c r="M79" s="69">
        <v>47</v>
      </c>
      <c r="N79" s="69">
        <v>61</v>
      </c>
      <c r="O79" s="69">
        <v>58</v>
      </c>
      <c r="P79" s="69">
        <f t="shared" si="27"/>
        <v>11</v>
      </c>
      <c r="Q79" s="69" t="s">
        <v>20</v>
      </c>
      <c r="R79" s="69">
        <f>O79*1.5</f>
        <v>87</v>
      </c>
      <c r="S79" s="69"/>
      <c r="T79" s="24">
        <v>4</v>
      </c>
      <c r="U79" s="24">
        <f t="shared" si="30"/>
        <v>5</v>
      </c>
      <c r="V79" s="24">
        <v>3</v>
      </c>
      <c r="W79" s="24">
        <f t="shared" si="31"/>
        <v>-1</v>
      </c>
      <c r="X79" s="24">
        <f>VLOOKUP(B:B,'[4]SQL Results'!$B$1:$P$65536,15,0)</f>
        <v>396</v>
      </c>
      <c r="Y79" s="24" t="s">
        <v>224</v>
      </c>
      <c r="Z79" s="24">
        <f t="shared" si="34"/>
        <v>19.8</v>
      </c>
      <c r="AA79" s="24"/>
      <c r="AB79" s="69">
        <v>3597.45</v>
      </c>
      <c r="AC79" s="69">
        <v>4276.69</v>
      </c>
      <c r="AD79" s="69">
        <v>4035.39</v>
      </c>
      <c r="AE79" s="69">
        <f t="shared" si="28"/>
        <v>437.94</v>
      </c>
      <c r="AF79" s="69" t="s">
        <v>20</v>
      </c>
      <c r="AG79" s="69">
        <f>AD79*0.07</f>
        <v>282.4773</v>
      </c>
      <c r="AH79" s="69"/>
      <c r="AI79" s="69">
        <f t="shared" si="32"/>
        <v>391</v>
      </c>
      <c r="AJ79" s="69">
        <f t="shared" si="33"/>
        <v>-5</v>
      </c>
    </row>
    <row r="80" s="60" customFormat="1" spans="1:36">
      <c r="A80" s="74">
        <v>78</v>
      </c>
      <c r="B80" s="74">
        <v>549</v>
      </c>
      <c r="C80" s="74" t="s">
        <v>181</v>
      </c>
      <c r="D80" s="74" t="s">
        <v>139</v>
      </c>
      <c r="E80" s="74" t="s">
        <v>169</v>
      </c>
      <c r="F80" s="80">
        <f>12/2</f>
        <v>6</v>
      </c>
      <c r="G80" s="75">
        <v>16</v>
      </c>
      <c r="H80" s="75">
        <v>1</v>
      </c>
      <c r="I80" s="75">
        <f t="shared" si="29"/>
        <v>-5</v>
      </c>
      <c r="J80" s="75" t="s">
        <v>224</v>
      </c>
      <c r="K80" s="75">
        <f>H80*1</f>
        <v>1</v>
      </c>
      <c r="L80" s="75">
        <f>I80*1</f>
        <v>-5</v>
      </c>
      <c r="M80" s="75">
        <f>40/2</f>
        <v>20</v>
      </c>
      <c r="N80" s="75">
        <v>52</v>
      </c>
      <c r="O80" s="75">
        <v>13</v>
      </c>
      <c r="P80" s="75">
        <f t="shared" si="27"/>
        <v>-7</v>
      </c>
      <c r="Q80" s="75" t="s">
        <v>224</v>
      </c>
      <c r="R80" s="75">
        <f>O80*0.8</f>
        <v>10.4</v>
      </c>
      <c r="S80" s="75">
        <f>P80*0.6</f>
        <v>-4.2</v>
      </c>
      <c r="T80" s="78">
        <f>4/2</f>
        <v>2</v>
      </c>
      <c r="U80" s="78">
        <f t="shared" si="30"/>
        <v>3</v>
      </c>
      <c r="V80" s="78">
        <v>0</v>
      </c>
      <c r="W80" s="78">
        <f t="shared" si="31"/>
        <v>-2</v>
      </c>
      <c r="X80" s="78" t="str">
        <f>VLOOKUP(B:B,'[4]SQL Results'!$B$1:$P$65536,15,0)</f>
        <v/>
      </c>
      <c r="Y80" s="78" t="s">
        <v>224</v>
      </c>
      <c r="Z80" s="78"/>
      <c r="AA80" s="78">
        <f>W80*5</f>
        <v>-10</v>
      </c>
      <c r="AB80" s="80">
        <f>1582.55/2</f>
        <v>791.275</v>
      </c>
      <c r="AC80" s="80">
        <f>1973.83/2</f>
        <v>986.915</v>
      </c>
      <c r="AD80" s="75">
        <v>1432.5</v>
      </c>
      <c r="AE80" s="75">
        <f t="shared" si="28"/>
        <v>641.225</v>
      </c>
      <c r="AF80" s="75" t="s">
        <v>21</v>
      </c>
      <c r="AG80" s="75">
        <f>AD80*0.07</f>
        <v>100.275</v>
      </c>
      <c r="AH80" s="75"/>
      <c r="AI80" s="75">
        <f t="shared" si="32"/>
        <v>112</v>
      </c>
      <c r="AJ80" s="75">
        <f t="shared" si="33"/>
        <v>-19</v>
      </c>
    </row>
    <row r="81" spans="1:36">
      <c r="A81" s="68">
        <v>79</v>
      </c>
      <c r="B81" s="68">
        <v>716</v>
      </c>
      <c r="C81" s="68" t="s">
        <v>182</v>
      </c>
      <c r="D81" s="68" t="s">
        <v>139</v>
      </c>
      <c r="E81" s="68" t="s">
        <v>169</v>
      </c>
      <c r="F81" s="69">
        <v>12</v>
      </c>
      <c r="G81" s="69">
        <v>16</v>
      </c>
      <c r="H81" s="69">
        <v>14</v>
      </c>
      <c r="I81" s="69">
        <f t="shared" si="29"/>
        <v>2</v>
      </c>
      <c r="J81" s="69" t="s">
        <v>20</v>
      </c>
      <c r="K81" s="69">
        <f>H81*2.5</f>
        <v>35</v>
      </c>
      <c r="L81" s="69"/>
      <c r="M81" s="69">
        <v>55</v>
      </c>
      <c r="N81" s="69">
        <v>72</v>
      </c>
      <c r="O81" s="69">
        <v>74</v>
      </c>
      <c r="P81" s="69">
        <f t="shared" si="27"/>
        <v>19</v>
      </c>
      <c r="Q81" s="69" t="s">
        <v>21</v>
      </c>
      <c r="R81" s="69">
        <f>O81*2.5</f>
        <v>185</v>
      </c>
      <c r="S81" s="69"/>
      <c r="T81" s="24">
        <v>6</v>
      </c>
      <c r="U81" s="24">
        <f t="shared" si="30"/>
        <v>7</v>
      </c>
      <c r="V81" s="24">
        <v>8</v>
      </c>
      <c r="W81" s="24">
        <f t="shared" si="31"/>
        <v>2</v>
      </c>
      <c r="X81" s="24">
        <f>VLOOKUP(B:B,'[4]SQL Results'!$B$1:$P$65536,15,0)</f>
        <v>1188</v>
      </c>
      <c r="Y81" s="24" t="s">
        <v>21</v>
      </c>
      <c r="Z81" s="24">
        <f>X81*0.1</f>
        <v>118.8</v>
      </c>
      <c r="AA81" s="24"/>
      <c r="AB81" s="69">
        <v>4124.52</v>
      </c>
      <c r="AC81" s="69">
        <v>4761.88</v>
      </c>
      <c r="AD81" s="69">
        <v>1640.03</v>
      </c>
      <c r="AE81" s="69">
        <f t="shared" si="28"/>
        <v>-2484.49</v>
      </c>
      <c r="AF81" s="69" t="s">
        <v>224</v>
      </c>
      <c r="AG81" s="69">
        <f>AD81*0.05</f>
        <v>82.0015</v>
      </c>
      <c r="AH81" s="69">
        <f>AE81*0.04</f>
        <v>-99.3796</v>
      </c>
      <c r="AI81" s="69">
        <f t="shared" si="32"/>
        <v>421</v>
      </c>
      <c r="AJ81" s="69">
        <f t="shared" si="33"/>
        <v>-99</v>
      </c>
    </row>
    <row r="82" s="14" customFormat="1" spans="1:36">
      <c r="A82" s="68">
        <v>80</v>
      </c>
      <c r="B82" s="68">
        <v>732</v>
      </c>
      <c r="C82" s="68" t="s">
        <v>183</v>
      </c>
      <c r="D82" s="68" t="s">
        <v>139</v>
      </c>
      <c r="E82" s="68" t="s">
        <v>169</v>
      </c>
      <c r="F82" s="69">
        <v>4</v>
      </c>
      <c r="G82" s="69">
        <v>6</v>
      </c>
      <c r="H82" s="69">
        <v>1</v>
      </c>
      <c r="I82" s="69">
        <f t="shared" si="29"/>
        <v>-3</v>
      </c>
      <c r="J82" s="69" t="s">
        <v>224</v>
      </c>
      <c r="K82" s="69">
        <f>H82*1</f>
        <v>1</v>
      </c>
      <c r="L82" s="69">
        <f>I82*1</f>
        <v>-3</v>
      </c>
      <c r="M82" s="69">
        <v>61</v>
      </c>
      <c r="N82" s="69">
        <v>79</v>
      </c>
      <c r="O82" s="69">
        <v>81</v>
      </c>
      <c r="P82" s="69">
        <f t="shared" si="27"/>
        <v>20</v>
      </c>
      <c r="Q82" s="69" t="s">
        <v>21</v>
      </c>
      <c r="R82" s="69">
        <f>O82*2.5</f>
        <v>202.5</v>
      </c>
      <c r="S82" s="69"/>
      <c r="T82" s="24">
        <v>4</v>
      </c>
      <c r="U82" s="24">
        <f t="shared" si="30"/>
        <v>5</v>
      </c>
      <c r="V82" s="24">
        <v>0</v>
      </c>
      <c r="W82" s="24">
        <f t="shared" si="31"/>
        <v>-4</v>
      </c>
      <c r="X82" s="24" t="str">
        <f>VLOOKUP(B:B,'[4]SQL Results'!$B$1:$P$65536,15,0)</f>
        <v/>
      </c>
      <c r="Y82" s="24" t="s">
        <v>224</v>
      </c>
      <c r="Z82" s="24"/>
      <c r="AA82" s="24">
        <f>W82*5</f>
        <v>-20</v>
      </c>
      <c r="AB82" s="69">
        <v>4579.29</v>
      </c>
      <c r="AC82" s="69">
        <v>5353.08</v>
      </c>
      <c r="AD82" s="69">
        <v>4296.18</v>
      </c>
      <c r="AE82" s="69">
        <f t="shared" si="28"/>
        <v>-283.11</v>
      </c>
      <c r="AF82" s="69" t="s">
        <v>224</v>
      </c>
      <c r="AG82" s="69">
        <f>AD82*0.05</f>
        <v>214.809</v>
      </c>
      <c r="AH82" s="69">
        <f>AE82*0.04</f>
        <v>-11.3244</v>
      </c>
      <c r="AI82" s="69">
        <f t="shared" si="32"/>
        <v>418</v>
      </c>
      <c r="AJ82" s="69">
        <f t="shared" si="33"/>
        <v>-34</v>
      </c>
    </row>
    <row r="83" spans="1:36">
      <c r="A83" s="68">
        <v>81</v>
      </c>
      <c r="B83" s="71">
        <v>102567</v>
      </c>
      <c r="C83" s="70" t="s">
        <v>184</v>
      </c>
      <c r="D83" s="68" t="s">
        <v>109</v>
      </c>
      <c r="E83" s="68" t="s">
        <v>169</v>
      </c>
      <c r="F83" s="69">
        <v>4</v>
      </c>
      <c r="G83" s="69">
        <v>6</v>
      </c>
      <c r="H83" s="69">
        <v>12</v>
      </c>
      <c r="I83" s="69">
        <f t="shared" si="29"/>
        <v>8</v>
      </c>
      <c r="J83" s="69" t="s">
        <v>21</v>
      </c>
      <c r="K83" s="69">
        <f>H83*3.5</f>
        <v>42</v>
      </c>
      <c r="L83" s="69"/>
      <c r="M83" s="69">
        <v>40</v>
      </c>
      <c r="N83" s="69">
        <v>52</v>
      </c>
      <c r="O83" s="69">
        <v>31</v>
      </c>
      <c r="P83" s="69">
        <f t="shared" si="27"/>
        <v>-9</v>
      </c>
      <c r="Q83" s="69" t="s">
        <v>224</v>
      </c>
      <c r="R83" s="69">
        <f>O83*0.8</f>
        <v>24.8</v>
      </c>
      <c r="S83" s="69">
        <f>P83*0.6</f>
        <v>-5.4</v>
      </c>
      <c r="T83" s="24">
        <v>4</v>
      </c>
      <c r="U83" s="24">
        <f t="shared" si="30"/>
        <v>5</v>
      </c>
      <c r="V83" s="24">
        <v>3</v>
      </c>
      <c r="W83" s="24">
        <f t="shared" si="31"/>
        <v>-1</v>
      </c>
      <c r="X83" s="24">
        <f>VLOOKUP(B:B,'[4]SQL Results'!$B$1:$P$65536,15,0)</f>
        <v>396.01</v>
      </c>
      <c r="Y83" s="24" t="s">
        <v>224</v>
      </c>
      <c r="Z83" s="24">
        <f t="shared" ref="Z82:Z91" si="35">X83*0.05</f>
        <v>19.8005</v>
      </c>
      <c r="AA83" s="24"/>
      <c r="AB83" s="69">
        <v>1633.3</v>
      </c>
      <c r="AC83" s="69">
        <v>2049.95</v>
      </c>
      <c r="AD83" s="69">
        <v>976.31</v>
      </c>
      <c r="AE83" s="69">
        <f t="shared" si="28"/>
        <v>-656.99</v>
      </c>
      <c r="AF83" s="69" t="s">
        <v>224</v>
      </c>
      <c r="AG83" s="69">
        <f>AD83*0.05</f>
        <v>48.8155</v>
      </c>
      <c r="AH83" s="69">
        <f>AE83*0.04</f>
        <v>-26.2796</v>
      </c>
      <c r="AI83" s="69">
        <f t="shared" si="32"/>
        <v>135</v>
      </c>
      <c r="AJ83" s="69">
        <f t="shared" si="33"/>
        <v>-32</v>
      </c>
    </row>
    <row r="84" spans="1:36">
      <c r="A84" s="68">
        <v>82</v>
      </c>
      <c r="B84" s="71">
        <v>104533</v>
      </c>
      <c r="C84" s="72" t="s">
        <v>186</v>
      </c>
      <c r="D84" s="73"/>
      <c r="E84" s="68" t="s">
        <v>169</v>
      </c>
      <c r="F84" s="69">
        <v>4</v>
      </c>
      <c r="G84" s="69">
        <v>6</v>
      </c>
      <c r="H84" s="69">
        <v>4</v>
      </c>
      <c r="I84" s="69">
        <f t="shared" si="29"/>
        <v>0</v>
      </c>
      <c r="J84" s="69" t="s">
        <v>20</v>
      </c>
      <c r="K84" s="69">
        <f>H84*2.5</f>
        <v>10</v>
      </c>
      <c r="L84" s="69"/>
      <c r="M84" s="69">
        <v>40</v>
      </c>
      <c r="N84" s="69">
        <v>52</v>
      </c>
      <c r="O84" s="69">
        <v>36</v>
      </c>
      <c r="P84" s="69">
        <f t="shared" si="27"/>
        <v>-4</v>
      </c>
      <c r="Q84" s="69" t="s">
        <v>224</v>
      </c>
      <c r="R84" s="69">
        <f>O84*0.8</f>
        <v>28.8</v>
      </c>
      <c r="S84" s="69">
        <f>P84*0.6</f>
        <v>-2.4</v>
      </c>
      <c r="T84" s="24">
        <v>4</v>
      </c>
      <c r="U84" s="24">
        <f t="shared" si="30"/>
        <v>5</v>
      </c>
      <c r="V84" s="24">
        <v>2</v>
      </c>
      <c r="W84" s="24">
        <f t="shared" si="31"/>
        <v>-2</v>
      </c>
      <c r="X84" s="24">
        <f>VLOOKUP(B:B,'[4]SQL Results'!$B$1:$P$65536,15,0)</f>
        <v>198</v>
      </c>
      <c r="Y84" s="24" t="s">
        <v>224</v>
      </c>
      <c r="Z84" s="24">
        <f t="shared" si="35"/>
        <v>9.9</v>
      </c>
      <c r="AA84" s="24"/>
      <c r="AB84" s="69">
        <v>800</v>
      </c>
      <c r="AC84" s="69">
        <v>980</v>
      </c>
      <c r="AD84" s="69">
        <v>1024.97</v>
      </c>
      <c r="AE84" s="69">
        <f t="shared" si="28"/>
        <v>224.97</v>
      </c>
      <c r="AF84" s="69" t="s">
        <v>21</v>
      </c>
      <c r="AG84" s="69">
        <f>AD84*0.09</f>
        <v>92.2473</v>
      </c>
      <c r="AH84" s="69"/>
      <c r="AI84" s="69">
        <f t="shared" si="32"/>
        <v>141</v>
      </c>
      <c r="AJ84" s="69">
        <f t="shared" si="33"/>
        <v>-2</v>
      </c>
    </row>
    <row r="85" spans="1:36">
      <c r="A85" s="68">
        <v>83</v>
      </c>
      <c r="B85" s="68">
        <v>367</v>
      </c>
      <c r="C85" s="68" t="s">
        <v>187</v>
      </c>
      <c r="D85" s="68" t="s">
        <v>109</v>
      </c>
      <c r="E85" s="68" t="s">
        <v>188</v>
      </c>
      <c r="F85" s="69">
        <v>14</v>
      </c>
      <c r="G85" s="69">
        <v>18</v>
      </c>
      <c r="H85" s="69">
        <v>8</v>
      </c>
      <c r="I85" s="69">
        <f t="shared" si="29"/>
        <v>-6</v>
      </c>
      <c r="J85" s="69" t="s">
        <v>224</v>
      </c>
      <c r="K85" s="69">
        <f>H85*1</f>
        <v>8</v>
      </c>
      <c r="L85" s="69">
        <f>I85*1</f>
        <v>-6</v>
      </c>
      <c r="M85" s="69">
        <v>113</v>
      </c>
      <c r="N85" s="69">
        <v>133</v>
      </c>
      <c r="O85" s="69">
        <v>119</v>
      </c>
      <c r="P85" s="69">
        <f t="shared" si="27"/>
        <v>6</v>
      </c>
      <c r="Q85" s="69" t="s">
        <v>20</v>
      </c>
      <c r="R85" s="69">
        <f>O85*1.5</f>
        <v>178.5</v>
      </c>
      <c r="S85" s="69"/>
      <c r="T85" s="24">
        <v>4</v>
      </c>
      <c r="U85" s="24">
        <f t="shared" si="30"/>
        <v>5</v>
      </c>
      <c r="V85" s="24">
        <v>3</v>
      </c>
      <c r="W85" s="24">
        <f t="shared" si="31"/>
        <v>-1</v>
      </c>
      <c r="X85" s="24">
        <f>VLOOKUP(B:B,'[4]SQL Results'!$B$1:$P$65536,15,0)</f>
        <v>588.03</v>
      </c>
      <c r="Y85" s="24" t="s">
        <v>224</v>
      </c>
      <c r="Z85" s="24">
        <f t="shared" si="35"/>
        <v>29.4015</v>
      </c>
      <c r="AA85" s="24"/>
      <c r="AB85" s="69">
        <v>2596.21</v>
      </c>
      <c r="AC85" s="69">
        <v>3234.69</v>
      </c>
      <c r="AD85" s="69">
        <v>1787.5</v>
      </c>
      <c r="AE85" s="69">
        <f t="shared" si="28"/>
        <v>-808.71</v>
      </c>
      <c r="AF85" s="69" t="s">
        <v>224</v>
      </c>
      <c r="AG85" s="69">
        <f>AD85*0.05</f>
        <v>89.375</v>
      </c>
      <c r="AH85" s="69">
        <f>AE85*0.04</f>
        <v>-32.3484</v>
      </c>
      <c r="AI85" s="69">
        <f t="shared" si="32"/>
        <v>305</v>
      </c>
      <c r="AJ85" s="69">
        <f t="shared" si="33"/>
        <v>-38</v>
      </c>
    </row>
    <row r="86" spans="1:36">
      <c r="A86" s="68">
        <v>84</v>
      </c>
      <c r="B86" s="68">
        <v>54</v>
      </c>
      <c r="C86" s="68" t="s">
        <v>189</v>
      </c>
      <c r="D86" s="68" t="s">
        <v>104</v>
      </c>
      <c r="E86" s="68" t="s">
        <v>188</v>
      </c>
      <c r="F86" s="69">
        <v>14</v>
      </c>
      <c r="G86" s="69">
        <v>18</v>
      </c>
      <c r="H86" s="69">
        <v>26</v>
      </c>
      <c r="I86" s="69">
        <f t="shared" si="29"/>
        <v>12</v>
      </c>
      <c r="J86" s="69" t="s">
        <v>21</v>
      </c>
      <c r="K86" s="69">
        <f>H86*3.5</f>
        <v>91</v>
      </c>
      <c r="L86" s="69"/>
      <c r="M86" s="69">
        <v>170</v>
      </c>
      <c r="N86" s="69">
        <v>192</v>
      </c>
      <c r="O86" s="69">
        <v>114</v>
      </c>
      <c r="P86" s="69">
        <f t="shared" si="27"/>
        <v>-56</v>
      </c>
      <c r="Q86" s="69" t="s">
        <v>224</v>
      </c>
      <c r="R86" s="69">
        <f>O86*0.8</f>
        <v>91.2</v>
      </c>
      <c r="S86" s="69">
        <f>P86*0.6</f>
        <v>-33.6</v>
      </c>
      <c r="T86" s="24">
        <v>4</v>
      </c>
      <c r="U86" s="24">
        <f t="shared" si="30"/>
        <v>5</v>
      </c>
      <c r="V86" s="24">
        <v>0</v>
      </c>
      <c r="W86" s="24">
        <f t="shared" si="31"/>
        <v>-4</v>
      </c>
      <c r="X86" s="24" t="str">
        <f>VLOOKUP(B:B,'[4]SQL Results'!$B$1:$P$65536,15,0)</f>
        <v/>
      </c>
      <c r="Y86" s="24" t="s">
        <v>224</v>
      </c>
      <c r="Z86" s="24"/>
      <c r="AA86" s="24">
        <f>W86*5</f>
        <v>-20</v>
      </c>
      <c r="AB86" s="69">
        <v>13300.45</v>
      </c>
      <c r="AC86" s="69">
        <v>13964.49</v>
      </c>
      <c r="AD86" s="69">
        <v>7797.32</v>
      </c>
      <c r="AE86" s="69">
        <f t="shared" si="28"/>
        <v>-5503.13</v>
      </c>
      <c r="AF86" s="69" t="s">
        <v>224</v>
      </c>
      <c r="AG86" s="69">
        <f>AD86*0.05</f>
        <v>389.866</v>
      </c>
      <c r="AH86" s="69">
        <f>AE86*0.04</f>
        <v>-220.1252</v>
      </c>
      <c r="AI86" s="69">
        <f t="shared" si="32"/>
        <v>572</v>
      </c>
      <c r="AJ86" s="69">
        <f t="shared" si="33"/>
        <v>-274</v>
      </c>
    </row>
    <row r="87" spans="1:36">
      <c r="A87" s="68">
        <v>85</v>
      </c>
      <c r="B87" s="68">
        <v>52</v>
      </c>
      <c r="C87" s="68" t="s">
        <v>190</v>
      </c>
      <c r="D87" s="68" t="s">
        <v>104</v>
      </c>
      <c r="E87" s="68" t="s">
        <v>188</v>
      </c>
      <c r="F87" s="69">
        <v>14</v>
      </c>
      <c r="G87" s="69">
        <v>18</v>
      </c>
      <c r="H87" s="69">
        <v>1</v>
      </c>
      <c r="I87" s="69">
        <f t="shared" si="29"/>
        <v>-13</v>
      </c>
      <c r="J87" s="69" t="s">
        <v>224</v>
      </c>
      <c r="K87" s="69">
        <f t="shared" ref="K87:K95" si="36">H87*1</f>
        <v>1</v>
      </c>
      <c r="L87" s="69">
        <f t="shared" ref="L87:L95" si="37">I87*1</f>
        <v>-13</v>
      </c>
      <c r="M87" s="69">
        <v>80</v>
      </c>
      <c r="N87" s="69">
        <v>104</v>
      </c>
      <c r="O87" s="69">
        <v>47</v>
      </c>
      <c r="P87" s="69">
        <f t="shared" si="27"/>
        <v>-33</v>
      </c>
      <c r="Q87" s="69" t="s">
        <v>224</v>
      </c>
      <c r="R87" s="69">
        <f>O87*0.8</f>
        <v>37.6</v>
      </c>
      <c r="S87" s="69">
        <f>P87*0.6</f>
        <v>-19.8</v>
      </c>
      <c r="T87" s="24">
        <v>4</v>
      </c>
      <c r="U87" s="24">
        <f t="shared" si="30"/>
        <v>5</v>
      </c>
      <c r="V87" s="24">
        <v>0</v>
      </c>
      <c r="W87" s="24">
        <f t="shared" si="31"/>
        <v>-4</v>
      </c>
      <c r="X87" s="24" t="str">
        <f>VLOOKUP(B:B,'[4]SQL Results'!$B$1:$P$65536,15,0)</f>
        <v/>
      </c>
      <c r="Y87" s="24" t="s">
        <v>224</v>
      </c>
      <c r="Z87" s="24"/>
      <c r="AA87" s="24">
        <f>W87*5</f>
        <v>-20</v>
      </c>
      <c r="AB87" s="69">
        <v>2826.91</v>
      </c>
      <c r="AC87" s="69">
        <v>3457.67</v>
      </c>
      <c r="AD87" s="69">
        <v>1665</v>
      </c>
      <c r="AE87" s="69">
        <f t="shared" si="28"/>
        <v>-1161.91</v>
      </c>
      <c r="AF87" s="69" t="s">
        <v>224</v>
      </c>
      <c r="AG87" s="69">
        <f>AD87*0.05</f>
        <v>83.25</v>
      </c>
      <c r="AH87" s="69">
        <f>AE87*0.04</f>
        <v>-46.4764</v>
      </c>
      <c r="AI87" s="69">
        <f t="shared" si="32"/>
        <v>122</v>
      </c>
      <c r="AJ87" s="69">
        <f t="shared" si="33"/>
        <v>-99</v>
      </c>
    </row>
    <row r="88" spans="1:36">
      <c r="A88" s="68">
        <v>86</v>
      </c>
      <c r="B88" s="68">
        <v>587</v>
      </c>
      <c r="C88" s="68" t="s">
        <v>191</v>
      </c>
      <c r="D88" s="68" t="s">
        <v>104</v>
      </c>
      <c r="E88" s="68" t="s">
        <v>188</v>
      </c>
      <c r="F88" s="69">
        <v>15</v>
      </c>
      <c r="G88" s="69">
        <v>20</v>
      </c>
      <c r="H88" s="69">
        <v>11</v>
      </c>
      <c r="I88" s="69">
        <f t="shared" si="29"/>
        <v>-4</v>
      </c>
      <c r="J88" s="69" t="s">
        <v>224</v>
      </c>
      <c r="K88" s="69">
        <f t="shared" si="36"/>
        <v>11</v>
      </c>
      <c r="L88" s="69">
        <f t="shared" si="37"/>
        <v>-4</v>
      </c>
      <c r="M88" s="69">
        <v>95</v>
      </c>
      <c r="N88" s="69">
        <v>124</v>
      </c>
      <c r="O88" s="69">
        <v>100</v>
      </c>
      <c r="P88" s="69">
        <f t="shared" si="27"/>
        <v>5</v>
      </c>
      <c r="Q88" s="69" t="s">
        <v>20</v>
      </c>
      <c r="R88" s="69">
        <f>O88*1.5</f>
        <v>150</v>
      </c>
      <c r="S88" s="69"/>
      <c r="T88" s="24">
        <v>4</v>
      </c>
      <c r="U88" s="24">
        <f t="shared" si="30"/>
        <v>5</v>
      </c>
      <c r="V88" s="24">
        <v>1</v>
      </c>
      <c r="W88" s="24">
        <f t="shared" si="31"/>
        <v>-3</v>
      </c>
      <c r="X88" s="24">
        <f>VLOOKUP(B:B,'[4]SQL Results'!$B$1:$P$65536,15,0)</f>
        <v>198</v>
      </c>
      <c r="Y88" s="24" t="s">
        <v>224</v>
      </c>
      <c r="Z88" s="24">
        <f t="shared" si="35"/>
        <v>9.9</v>
      </c>
      <c r="AA88" s="24"/>
      <c r="AB88" s="69">
        <v>3025.31</v>
      </c>
      <c r="AC88" s="69">
        <v>3532.9</v>
      </c>
      <c r="AD88" s="69">
        <v>3588.43</v>
      </c>
      <c r="AE88" s="69">
        <f t="shared" si="28"/>
        <v>563.12</v>
      </c>
      <c r="AF88" s="69" t="s">
        <v>21</v>
      </c>
      <c r="AG88" s="69">
        <f>AD88*0.09</f>
        <v>322.9587</v>
      </c>
      <c r="AH88" s="69"/>
      <c r="AI88" s="69">
        <f t="shared" si="32"/>
        <v>494</v>
      </c>
      <c r="AJ88" s="69">
        <f t="shared" si="33"/>
        <v>-4</v>
      </c>
    </row>
    <row r="89" spans="1:36">
      <c r="A89" s="68">
        <v>87</v>
      </c>
      <c r="B89" s="68">
        <v>329</v>
      </c>
      <c r="C89" s="68" t="s">
        <v>192</v>
      </c>
      <c r="D89" s="68" t="s">
        <v>95</v>
      </c>
      <c r="E89" s="68" t="s">
        <v>188</v>
      </c>
      <c r="F89" s="69">
        <v>16</v>
      </c>
      <c r="G89" s="69">
        <v>21</v>
      </c>
      <c r="H89" s="69">
        <v>12</v>
      </c>
      <c r="I89" s="69">
        <f t="shared" si="29"/>
        <v>-4</v>
      </c>
      <c r="J89" s="69" t="s">
        <v>224</v>
      </c>
      <c r="K89" s="69">
        <f t="shared" si="36"/>
        <v>12</v>
      </c>
      <c r="L89" s="69">
        <f t="shared" si="37"/>
        <v>-4</v>
      </c>
      <c r="M89" s="69">
        <v>78</v>
      </c>
      <c r="N89" s="69">
        <v>101</v>
      </c>
      <c r="O89" s="69">
        <v>76</v>
      </c>
      <c r="P89" s="69">
        <f t="shared" si="27"/>
        <v>-2</v>
      </c>
      <c r="Q89" s="69" t="s">
        <v>224</v>
      </c>
      <c r="R89" s="69">
        <f>O89*0.8</f>
        <v>60.8</v>
      </c>
      <c r="S89" s="69">
        <f>P89*0.6</f>
        <v>-1.2</v>
      </c>
      <c r="T89" s="24">
        <v>4</v>
      </c>
      <c r="U89" s="24">
        <f t="shared" si="30"/>
        <v>5</v>
      </c>
      <c r="V89" s="24">
        <v>0</v>
      </c>
      <c r="W89" s="24">
        <f t="shared" si="31"/>
        <v>-4</v>
      </c>
      <c r="X89" s="24" t="str">
        <f>VLOOKUP(B:B,'[4]SQL Results'!$B$1:$P$65536,15,0)</f>
        <v/>
      </c>
      <c r="Y89" s="24" t="s">
        <v>224</v>
      </c>
      <c r="Z89" s="24"/>
      <c r="AA89" s="24">
        <f>W89*5</f>
        <v>-20</v>
      </c>
      <c r="AB89" s="69">
        <v>9766.08</v>
      </c>
      <c r="AC89" s="69">
        <v>10723.97</v>
      </c>
      <c r="AD89" s="69">
        <v>6663.96</v>
      </c>
      <c r="AE89" s="69">
        <f t="shared" si="28"/>
        <v>-3102.12</v>
      </c>
      <c r="AF89" s="69" t="s">
        <v>224</v>
      </c>
      <c r="AG89" s="69">
        <f>AD89*0.05</f>
        <v>333.198</v>
      </c>
      <c r="AH89" s="69">
        <f>AE89*0.04</f>
        <v>-124.0848</v>
      </c>
      <c r="AI89" s="69">
        <f t="shared" si="32"/>
        <v>406</v>
      </c>
      <c r="AJ89" s="69">
        <f t="shared" si="33"/>
        <v>-149</v>
      </c>
    </row>
    <row r="90" spans="1:36">
      <c r="A90" s="68">
        <v>88</v>
      </c>
      <c r="B90" s="68">
        <v>754</v>
      </c>
      <c r="C90" s="68" t="s">
        <v>193</v>
      </c>
      <c r="D90" s="68" t="s">
        <v>139</v>
      </c>
      <c r="E90" s="68" t="s">
        <v>188</v>
      </c>
      <c r="F90" s="69">
        <v>15</v>
      </c>
      <c r="G90" s="69">
        <v>20</v>
      </c>
      <c r="H90" s="69">
        <v>6</v>
      </c>
      <c r="I90" s="69">
        <f t="shared" si="29"/>
        <v>-9</v>
      </c>
      <c r="J90" s="69" t="s">
        <v>224</v>
      </c>
      <c r="K90" s="69">
        <f t="shared" si="36"/>
        <v>6</v>
      </c>
      <c r="L90" s="69">
        <f t="shared" si="37"/>
        <v>-9</v>
      </c>
      <c r="M90" s="69">
        <v>86</v>
      </c>
      <c r="N90" s="69">
        <v>112</v>
      </c>
      <c r="O90" s="69">
        <v>142</v>
      </c>
      <c r="P90" s="69">
        <f t="shared" si="27"/>
        <v>56</v>
      </c>
      <c r="Q90" s="69" t="s">
        <v>21</v>
      </c>
      <c r="R90" s="69">
        <f>O90*2.5</f>
        <v>355</v>
      </c>
      <c r="S90" s="69"/>
      <c r="T90" s="24">
        <v>4</v>
      </c>
      <c r="U90" s="24">
        <f t="shared" si="30"/>
        <v>5</v>
      </c>
      <c r="V90" s="24">
        <v>3</v>
      </c>
      <c r="W90" s="24">
        <f t="shared" si="31"/>
        <v>-1</v>
      </c>
      <c r="X90" s="24">
        <f>VLOOKUP(B:B,'[4]SQL Results'!$B$1:$P$65536,15,0)</f>
        <v>396</v>
      </c>
      <c r="Y90" s="24" t="s">
        <v>224</v>
      </c>
      <c r="Z90" s="24">
        <f t="shared" si="35"/>
        <v>19.8</v>
      </c>
      <c r="AA90" s="24"/>
      <c r="AB90" s="69">
        <v>1319.25</v>
      </c>
      <c r="AC90" s="69">
        <v>1578.88</v>
      </c>
      <c r="AD90" s="69">
        <v>1975.5</v>
      </c>
      <c r="AE90" s="69">
        <f t="shared" si="28"/>
        <v>656.25</v>
      </c>
      <c r="AF90" s="69" t="s">
        <v>21</v>
      </c>
      <c r="AG90" s="69">
        <f>AD90*0.09</f>
        <v>177.795</v>
      </c>
      <c r="AH90" s="69"/>
      <c r="AI90" s="69">
        <f t="shared" si="32"/>
        <v>559</v>
      </c>
      <c r="AJ90" s="69">
        <f t="shared" si="33"/>
        <v>-9</v>
      </c>
    </row>
    <row r="91" spans="1:36">
      <c r="A91" s="68">
        <v>89</v>
      </c>
      <c r="B91" s="68">
        <v>704</v>
      </c>
      <c r="C91" s="68" t="s">
        <v>194</v>
      </c>
      <c r="D91" s="68" t="s">
        <v>107</v>
      </c>
      <c r="E91" s="68" t="s">
        <v>188</v>
      </c>
      <c r="F91" s="69">
        <v>17</v>
      </c>
      <c r="G91" s="69">
        <v>22</v>
      </c>
      <c r="H91" s="69">
        <v>7</v>
      </c>
      <c r="I91" s="69">
        <f t="shared" si="29"/>
        <v>-10</v>
      </c>
      <c r="J91" s="69" t="s">
        <v>224</v>
      </c>
      <c r="K91" s="69">
        <f t="shared" si="36"/>
        <v>7</v>
      </c>
      <c r="L91" s="69">
        <f t="shared" si="37"/>
        <v>-10</v>
      </c>
      <c r="M91" s="69">
        <v>71</v>
      </c>
      <c r="N91" s="69">
        <v>92</v>
      </c>
      <c r="O91" s="69">
        <v>72</v>
      </c>
      <c r="P91" s="69">
        <f t="shared" si="27"/>
        <v>1</v>
      </c>
      <c r="Q91" s="69" t="s">
        <v>20</v>
      </c>
      <c r="R91" s="69">
        <f>O91*1.5</f>
        <v>108</v>
      </c>
      <c r="S91" s="69"/>
      <c r="T91" s="24">
        <v>8</v>
      </c>
      <c r="U91" s="24">
        <f t="shared" si="30"/>
        <v>9</v>
      </c>
      <c r="V91" s="24">
        <v>2</v>
      </c>
      <c r="W91" s="24">
        <f t="shared" si="31"/>
        <v>-6</v>
      </c>
      <c r="X91" s="24">
        <f>VLOOKUP(B:B,'[4]SQL Results'!$B$1:$P$65536,15,0)</f>
        <v>396</v>
      </c>
      <c r="Y91" s="24" t="s">
        <v>224</v>
      </c>
      <c r="Z91" s="24">
        <f t="shared" si="35"/>
        <v>19.8</v>
      </c>
      <c r="AA91" s="24"/>
      <c r="AB91" s="69">
        <v>2535.52</v>
      </c>
      <c r="AC91" s="69">
        <v>3149.73</v>
      </c>
      <c r="AD91" s="69">
        <v>753.5</v>
      </c>
      <c r="AE91" s="69">
        <f t="shared" si="28"/>
        <v>-1782.02</v>
      </c>
      <c r="AF91" s="69" t="s">
        <v>224</v>
      </c>
      <c r="AG91" s="69">
        <f>AD91*0.05</f>
        <v>37.675</v>
      </c>
      <c r="AH91" s="69">
        <f>AE91*0.04</f>
        <v>-71.2808</v>
      </c>
      <c r="AI91" s="69">
        <f t="shared" si="32"/>
        <v>172</v>
      </c>
      <c r="AJ91" s="69">
        <f t="shared" si="33"/>
        <v>-81</v>
      </c>
    </row>
    <row r="92" spans="1:36">
      <c r="A92" s="68">
        <v>90</v>
      </c>
      <c r="B92" s="68">
        <v>56</v>
      </c>
      <c r="C92" s="68" t="s">
        <v>195</v>
      </c>
      <c r="D92" s="68" t="s">
        <v>139</v>
      </c>
      <c r="E92" s="68" t="s">
        <v>188</v>
      </c>
      <c r="F92" s="69">
        <v>12</v>
      </c>
      <c r="G92" s="69">
        <v>16</v>
      </c>
      <c r="H92" s="69">
        <v>0</v>
      </c>
      <c r="I92" s="69">
        <f t="shared" si="29"/>
        <v>-12</v>
      </c>
      <c r="J92" s="69" t="s">
        <v>224</v>
      </c>
      <c r="K92" s="69">
        <f t="shared" si="36"/>
        <v>0</v>
      </c>
      <c r="L92" s="69">
        <f t="shared" si="37"/>
        <v>-12</v>
      </c>
      <c r="M92" s="69">
        <v>90</v>
      </c>
      <c r="N92" s="69">
        <v>117</v>
      </c>
      <c r="O92" s="69">
        <v>111</v>
      </c>
      <c r="P92" s="69">
        <f t="shared" si="27"/>
        <v>21</v>
      </c>
      <c r="Q92" s="69" t="s">
        <v>20</v>
      </c>
      <c r="R92" s="69">
        <f>O92*1.5</f>
        <v>166.5</v>
      </c>
      <c r="S92" s="69"/>
      <c r="T92" s="24">
        <v>4</v>
      </c>
      <c r="U92" s="24">
        <f t="shared" si="30"/>
        <v>5</v>
      </c>
      <c r="V92" s="24">
        <v>9</v>
      </c>
      <c r="W92" s="24">
        <f t="shared" si="31"/>
        <v>5</v>
      </c>
      <c r="X92" s="24">
        <f>VLOOKUP(B:B,'[4]SQL Results'!$B$1:$P$65536,15,0)</f>
        <v>1188.01</v>
      </c>
      <c r="Y92" s="24" t="s">
        <v>21</v>
      </c>
      <c r="Z92" s="24">
        <f>X92*0.1</f>
        <v>118.801</v>
      </c>
      <c r="AA92" s="24"/>
      <c r="AB92" s="69">
        <v>9753.34</v>
      </c>
      <c r="AC92" s="69">
        <v>10708.94</v>
      </c>
      <c r="AD92" s="69">
        <v>9758.77</v>
      </c>
      <c r="AE92" s="69">
        <f t="shared" si="28"/>
        <v>5.43000000000029</v>
      </c>
      <c r="AF92" s="69" t="s">
        <v>20</v>
      </c>
      <c r="AG92" s="69">
        <f>AD92*0.07</f>
        <v>683.1139</v>
      </c>
      <c r="AH92" s="69"/>
      <c r="AI92" s="69">
        <f t="shared" si="32"/>
        <v>968</v>
      </c>
      <c r="AJ92" s="69">
        <f t="shared" si="33"/>
        <v>-12</v>
      </c>
    </row>
    <row r="93" spans="1:36">
      <c r="A93" s="68">
        <v>91</v>
      </c>
      <c r="B93" s="68">
        <v>351</v>
      </c>
      <c r="C93" s="68" t="s">
        <v>196</v>
      </c>
      <c r="D93" s="68" t="s">
        <v>104</v>
      </c>
      <c r="E93" s="68" t="s">
        <v>188</v>
      </c>
      <c r="F93" s="69">
        <v>14</v>
      </c>
      <c r="G93" s="69">
        <v>18</v>
      </c>
      <c r="H93" s="69">
        <v>7</v>
      </c>
      <c r="I93" s="69">
        <f t="shared" si="29"/>
        <v>-7</v>
      </c>
      <c r="J93" s="69" t="s">
        <v>224</v>
      </c>
      <c r="K93" s="69">
        <f t="shared" si="36"/>
        <v>7</v>
      </c>
      <c r="L93" s="69">
        <f t="shared" si="37"/>
        <v>-7</v>
      </c>
      <c r="M93" s="69">
        <v>58</v>
      </c>
      <c r="N93" s="69">
        <v>75</v>
      </c>
      <c r="O93" s="69">
        <v>78</v>
      </c>
      <c r="P93" s="69">
        <f t="shared" si="27"/>
        <v>20</v>
      </c>
      <c r="Q93" s="69" t="s">
        <v>21</v>
      </c>
      <c r="R93" s="69">
        <f>O93*2.5</f>
        <v>195</v>
      </c>
      <c r="S93" s="69"/>
      <c r="T93" s="24">
        <v>4</v>
      </c>
      <c r="U93" s="24">
        <f t="shared" si="30"/>
        <v>5</v>
      </c>
      <c r="V93" s="24">
        <v>6</v>
      </c>
      <c r="W93" s="24">
        <f t="shared" si="31"/>
        <v>2</v>
      </c>
      <c r="X93" s="24">
        <f>VLOOKUP(B:B,'[4]SQL Results'!$B$1:$P$65536,15,0)</f>
        <v>792</v>
      </c>
      <c r="Y93" s="24" t="s">
        <v>21</v>
      </c>
      <c r="Z93" s="24">
        <f>X93*0.1</f>
        <v>79.2</v>
      </c>
      <c r="AA93" s="24"/>
      <c r="AB93" s="69">
        <v>8663.1</v>
      </c>
      <c r="AC93" s="69">
        <v>9622.46</v>
      </c>
      <c r="AD93" s="69">
        <v>5544.3</v>
      </c>
      <c r="AE93" s="69">
        <f t="shared" si="28"/>
        <v>-3118.8</v>
      </c>
      <c r="AF93" s="69" t="s">
        <v>224</v>
      </c>
      <c r="AG93" s="69">
        <f>AD93*0.05</f>
        <v>277.215</v>
      </c>
      <c r="AH93" s="69">
        <f>AE93*0.04</f>
        <v>-124.752</v>
      </c>
      <c r="AI93" s="69">
        <f t="shared" si="32"/>
        <v>558</v>
      </c>
      <c r="AJ93" s="69">
        <f t="shared" si="33"/>
        <v>-132</v>
      </c>
    </row>
    <row r="94" spans="1:36">
      <c r="A94" s="68">
        <v>92</v>
      </c>
      <c r="B94" s="68">
        <v>706</v>
      </c>
      <c r="C94" s="68" t="s">
        <v>197</v>
      </c>
      <c r="D94" s="68" t="s">
        <v>113</v>
      </c>
      <c r="E94" s="68" t="s">
        <v>188</v>
      </c>
      <c r="F94" s="69">
        <v>4</v>
      </c>
      <c r="G94" s="69">
        <v>6</v>
      </c>
      <c r="H94" s="69">
        <v>0</v>
      </c>
      <c r="I94" s="69">
        <f t="shared" si="29"/>
        <v>-4</v>
      </c>
      <c r="J94" s="69" t="s">
        <v>224</v>
      </c>
      <c r="K94" s="69">
        <f t="shared" si="36"/>
        <v>0</v>
      </c>
      <c r="L94" s="69">
        <f t="shared" si="37"/>
        <v>-4</v>
      </c>
      <c r="M94" s="69">
        <v>40</v>
      </c>
      <c r="N94" s="69">
        <v>52</v>
      </c>
      <c r="O94" s="69">
        <v>66</v>
      </c>
      <c r="P94" s="69">
        <f t="shared" si="27"/>
        <v>26</v>
      </c>
      <c r="Q94" s="69" t="s">
        <v>21</v>
      </c>
      <c r="R94" s="69">
        <f>O94*2.5</f>
        <v>165</v>
      </c>
      <c r="S94" s="69"/>
      <c r="T94" s="24">
        <v>6</v>
      </c>
      <c r="U94" s="24">
        <f t="shared" si="30"/>
        <v>7</v>
      </c>
      <c r="V94" s="24">
        <v>3</v>
      </c>
      <c r="W94" s="24">
        <f t="shared" si="31"/>
        <v>-3</v>
      </c>
      <c r="X94" s="24">
        <f>VLOOKUP(B:B,'[4]SQL Results'!$B$1:$P$65536,15,0)</f>
        <v>396.01</v>
      </c>
      <c r="Y94" s="24" t="s">
        <v>224</v>
      </c>
      <c r="Z94" s="24">
        <f>X94*0.05</f>
        <v>19.8005</v>
      </c>
      <c r="AA94" s="24"/>
      <c r="AB94" s="69">
        <v>2728.04</v>
      </c>
      <c r="AC94" s="69">
        <v>3419.26</v>
      </c>
      <c r="AD94" s="69">
        <v>2733.02</v>
      </c>
      <c r="AE94" s="69">
        <f t="shared" si="28"/>
        <v>4.98000000000002</v>
      </c>
      <c r="AF94" s="69" t="s">
        <v>20</v>
      </c>
      <c r="AG94" s="69">
        <f>AD94*0.07</f>
        <v>191.3114</v>
      </c>
      <c r="AH94" s="69"/>
      <c r="AI94" s="69">
        <f t="shared" si="32"/>
        <v>376</v>
      </c>
      <c r="AJ94" s="69">
        <f t="shared" si="33"/>
        <v>-4</v>
      </c>
    </row>
    <row r="95" spans="1:36">
      <c r="A95" s="68">
        <v>93</v>
      </c>
      <c r="B95" s="68">
        <v>710</v>
      </c>
      <c r="C95" s="68" t="s">
        <v>198</v>
      </c>
      <c r="D95" s="68" t="s">
        <v>113</v>
      </c>
      <c r="E95" s="68" t="s">
        <v>188</v>
      </c>
      <c r="F95" s="69">
        <v>9</v>
      </c>
      <c r="G95" s="69">
        <v>13</v>
      </c>
      <c r="H95" s="69">
        <v>0</v>
      </c>
      <c r="I95" s="69">
        <f t="shared" si="29"/>
        <v>-9</v>
      </c>
      <c r="J95" s="69" t="s">
        <v>224</v>
      </c>
      <c r="K95" s="69">
        <f t="shared" si="36"/>
        <v>0</v>
      </c>
      <c r="L95" s="69">
        <f t="shared" si="37"/>
        <v>-9</v>
      </c>
      <c r="M95" s="69">
        <v>76</v>
      </c>
      <c r="N95" s="69">
        <v>99</v>
      </c>
      <c r="O95" s="69">
        <v>58</v>
      </c>
      <c r="P95" s="69">
        <f t="shared" si="27"/>
        <v>-18</v>
      </c>
      <c r="Q95" s="69" t="s">
        <v>224</v>
      </c>
      <c r="R95" s="69">
        <f>O95*0.8</f>
        <v>46.4</v>
      </c>
      <c r="S95" s="69">
        <f>P95*0.6</f>
        <v>-10.8</v>
      </c>
      <c r="T95" s="24">
        <v>4</v>
      </c>
      <c r="U95" s="24">
        <f t="shared" si="30"/>
        <v>5</v>
      </c>
      <c r="V95" s="24">
        <v>0</v>
      </c>
      <c r="W95" s="24">
        <f t="shared" si="31"/>
        <v>-4</v>
      </c>
      <c r="X95" s="24" t="str">
        <f>VLOOKUP(B:B,'[4]SQL Results'!$B$1:$P$65536,15,0)</f>
        <v/>
      </c>
      <c r="Y95" s="24" t="s">
        <v>224</v>
      </c>
      <c r="Z95" s="24"/>
      <c r="AA95" s="24">
        <f>W95*5</f>
        <v>-20</v>
      </c>
      <c r="AB95" s="69">
        <v>1920.02</v>
      </c>
      <c r="AC95" s="69">
        <v>2480.03</v>
      </c>
      <c r="AD95" s="69">
        <v>1416.43</v>
      </c>
      <c r="AE95" s="69">
        <f t="shared" si="28"/>
        <v>-503.59</v>
      </c>
      <c r="AF95" s="69" t="s">
        <v>224</v>
      </c>
      <c r="AG95" s="69">
        <f>AD95*0.05</f>
        <v>70.8215</v>
      </c>
      <c r="AH95" s="69">
        <f>AE95*0.04</f>
        <v>-20.1436</v>
      </c>
      <c r="AI95" s="69">
        <f t="shared" si="32"/>
        <v>117</v>
      </c>
      <c r="AJ95" s="69">
        <f t="shared" si="33"/>
        <v>-60</v>
      </c>
    </row>
    <row r="96" spans="1:36">
      <c r="A96" s="68">
        <v>94</v>
      </c>
      <c r="B96" s="68">
        <v>738</v>
      </c>
      <c r="C96" s="68" t="s">
        <v>199</v>
      </c>
      <c r="D96" s="68" t="s">
        <v>139</v>
      </c>
      <c r="E96" s="68" t="s">
        <v>188</v>
      </c>
      <c r="F96" s="69">
        <v>10</v>
      </c>
      <c r="G96" s="69">
        <v>13</v>
      </c>
      <c r="H96" s="69">
        <v>13</v>
      </c>
      <c r="I96" s="69">
        <f t="shared" si="29"/>
        <v>3</v>
      </c>
      <c r="J96" s="69" t="s">
        <v>21</v>
      </c>
      <c r="K96" s="69">
        <f>H96*3.5</f>
        <v>45.5</v>
      </c>
      <c r="L96" s="69"/>
      <c r="M96" s="69">
        <v>70</v>
      </c>
      <c r="N96" s="69">
        <v>91</v>
      </c>
      <c r="O96" s="69">
        <v>72</v>
      </c>
      <c r="P96" s="69">
        <f t="shared" si="27"/>
        <v>2</v>
      </c>
      <c r="Q96" s="69" t="s">
        <v>20</v>
      </c>
      <c r="R96" s="69">
        <f>O96*1.5</f>
        <v>108</v>
      </c>
      <c r="S96" s="69"/>
      <c r="T96" s="24">
        <v>4</v>
      </c>
      <c r="U96" s="24">
        <f t="shared" si="30"/>
        <v>5</v>
      </c>
      <c r="V96" s="24">
        <v>6</v>
      </c>
      <c r="W96" s="24">
        <f t="shared" si="31"/>
        <v>2</v>
      </c>
      <c r="X96" s="24">
        <f>VLOOKUP(B:B,'[4]SQL Results'!$B$1:$P$65536,15,0)</f>
        <v>792.02</v>
      </c>
      <c r="Y96" s="24" t="s">
        <v>21</v>
      </c>
      <c r="Z96" s="24">
        <f>X96*0.1</f>
        <v>79.202</v>
      </c>
      <c r="AA96" s="24"/>
      <c r="AB96" s="69">
        <v>2399.01</v>
      </c>
      <c r="AC96" s="69">
        <v>2958.61</v>
      </c>
      <c r="AD96" s="69">
        <v>1287.02</v>
      </c>
      <c r="AE96" s="69">
        <f t="shared" si="28"/>
        <v>-1111.99</v>
      </c>
      <c r="AF96" s="69" t="s">
        <v>224</v>
      </c>
      <c r="AG96" s="69">
        <f>AD96*0.05</f>
        <v>64.351</v>
      </c>
      <c r="AH96" s="69">
        <f>AE96*0.04</f>
        <v>-44.4796</v>
      </c>
      <c r="AI96" s="69">
        <f t="shared" si="32"/>
        <v>297</v>
      </c>
      <c r="AJ96" s="69">
        <f t="shared" si="33"/>
        <v>-44</v>
      </c>
    </row>
    <row r="97" customFormat="1" spans="1:36">
      <c r="A97" s="68">
        <v>95</v>
      </c>
      <c r="B97" s="68">
        <v>755</v>
      </c>
      <c r="C97" s="70" t="s">
        <v>200</v>
      </c>
      <c r="D97" s="68" t="s">
        <v>113</v>
      </c>
      <c r="E97" s="68" t="s">
        <v>188</v>
      </c>
      <c r="F97" s="69">
        <v>5</v>
      </c>
      <c r="G97" s="69">
        <v>7</v>
      </c>
      <c r="H97" s="69">
        <v>0</v>
      </c>
      <c r="I97" s="69">
        <f t="shared" si="29"/>
        <v>-5</v>
      </c>
      <c r="J97" s="69" t="s">
        <v>224</v>
      </c>
      <c r="K97" s="69">
        <f>H97*1</f>
        <v>0</v>
      </c>
      <c r="L97" s="69">
        <f>I97*1</f>
        <v>-5</v>
      </c>
      <c r="M97" s="69">
        <v>30</v>
      </c>
      <c r="N97" s="69">
        <v>39</v>
      </c>
      <c r="O97" s="69">
        <v>23</v>
      </c>
      <c r="P97" s="69">
        <f t="shared" si="27"/>
        <v>-7</v>
      </c>
      <c r="Q97" s="69" t="s">
        <v>224</v>
      </c>
      <c r="R97" s="69">
        <f>O97*0.8</f>
        <v>18.4</v>
      </c>
      <c r="S97" s="69">
        <f>P97*0.6</f>
        <v>-4.2</v>
      </c>
      <c r="T97" s="24">
        <v>4</v>
      </c>
      <c r="U97" s="24">
        <f t="shared" si="30"/>
        <v>5</v>
      </c>
      <c r="V97" s="24">
        <v>0</v>
      </c>
      <c r="W97" s="24">
        <f t="shared" si="31"/>
        <v>-4</v>
      </c>
      <c r="X97" s="24" t="str">
        <f>VLOOKUP(B:B,'[4]SQL Results'!$B$1:$P$65536,15,0)</f>
        <v/>
      </c>
      <c r="Y97" s="24" t="s">
        <v>224</v>
      </c>
      <c r="Z97" s="24"/>
      <c r="AA97" s="24">
        <f>W97*5</f>
        <v>-20</v>
      </c>
      <c r="AB97" s="69">
        <v>800</v>
      </c>
      <c r="AC97" s="69">
        <v>980</v>
      </c>
      <c r="AD97" s="69">
        <v>489</v>
      </c>
      <c r="AE97" s="69">
        <f t="shared" si="28"/>
        <v>-311</v>
      </c>
      <c r="AF97" s="69" t="s">
        <v>224</v>
      </c>
      <c r="AG97" s="69">
        <f>AD97*0.05</f>
        <v>24.45</v>
      </c>
      <c r="AH97" s="69">
        <f>AE97*0.04</f>
        <v>-12.44</v>
      </c>
      <c r="AI97" s="69">
        <f t="shared" si="32"/>
        <v>43</v>
      </c>
      <c r="AJ97" s="69">
        <f t="shared" si="33"/>
        <v>-42</v>
      </c>
    </row>
    <row r="98" customFormat="1" spans="1:36">
      <c r="A98" s="68">
        <v>96</v>
      </c>
      <c r="B98" s="68">
        <v>713</v>
      </c>
      <c r="C98" s="68" t="s">
        <v>201</v>
      </c>
      <c r="D98" s="68" t="s">
        <v>113</v>
      </c>
      <c r="E98" s="68" t="s">
        <v>188</v>
      </c>
      <c r="F98" s="69">
        <v>7</v>
      </c>
      <c r="G98" s="69">
        <v>10</v>
      </c>
      <c r="H98" s="69">
        <v>7</v>
      </c>
      <c r="I98" s="69">
        <f t="shared" si="29"/>
        <v>0</v>
      </c>
      <c r="J98" s="69" t="s">
        <v>20</v>
      </c>
      <c r="K98" s="69">
        <f>H98*2.5</f>
        <v>17.5</v>
      </c>
      <c r="L98" s="69"/>
      <c r="M98" s="69">
        <v>47</v>
      </c>
      <c r="N98" s="69">
        <v>61</v>
      </c>
      <c r="O98" s="69">
        <v>67</v>
      </c>
      <c r="P98" s="69">
        <f t="shared" si="27"/>
        <v>20</v>
      </c>
      <c r="Q98" s="69" t="s">
        <v>21</v>
      </c>
      <c r="R98" s="69">
        <f>O98*2.5</f>
        <v>167.5</v>
      </c>
      <c r="S98" s="69"/>
      <c r="T98" s="24">
        <v>4</v>
      </c>
      <c r="U98" s="24">
        <f t="shared" si="30"/>
        <v>5</v>
      </c>
      <c r="V98" s="24">
        <v>2</v>
      </c>
      <c r="W98" s="24">
        <f t="shared" si="31"/>
        <v>-2</v>
      </c>
      <c r="X98" s="24">
        <f>VLOOKUP(B:B,'[4]SQL Results'!$B$1:$P$65536,15,0)</f>
        <v>364.2</v>
      </c>
      <c r="Y98" s="24" t="s">
        <v>224</v>
      </c>
      <c r="Z98" s="24">
        <f>X98*0.05</f>
        <v>18.21</v>
      </c>
      <c r="AA98" s="24"/>
      <c r="AB98" s="69">
        <v>3213.19</v>
      </c>
      <c r="AC98" s="69">
        <v>3777.15</v>
      </c>
      <c r="AD98" s="69">
        <v>2475.23</v>
      </c>
      <c r="AE98" s="69">
        <f t="shared" si="28"/>
        <v>-737.96</v>
      </c>
      <c r="AF98" s="69" t="s">
        <v>224</v>
      </c>
      <c r="AG98" s="69">
        <f>AD98*0.05</f>
        <v>123.7615</v>
      </c>
      <c r="AH98" s="69">
        <f>AE98*0.04</f>
        <v>-29.5184</v>
      </c>
      <c r="AI98" s="69">
        <f t="shared" si="32"/>
        <v>327</v>
      </c>
      <c r="AJ98" s="69">
        <f t="shared" si="33"/>
        <v>-30</v>
      </c>
    </row>
    <row r="99" customFormat="1" spans="1:36">
      <c r="A99" s="68">
        <v>97</v>
      </c>
      <c r="B99" s="71">
        <v>104428</v>
      </c>
      <c r="C99" s="72" t="s">
        <v>225</v>
      </c>
      <c r="D99" s="73"/>
      <c r="E99" s="73" t="s">
        <v>188</v>
      </c>
      <c r="F99" s="69">
        <v>10</v>
      </c>
      <c r="G99" s="69">
        <v>13</v>
      </c>
      <c r="H99" s="69">
        <v>0</v>
      </c>
      <c r="I99" s="69">
        <f t="shared" si="29"/>
        <v>-10</v>
      </c>
      <c r="J99" s="69" t="s">
        <v>224</v>
      </c>
      <c r="K99" s="69">
        <f>H99*1</f>
        <v>0</v>
      </c>
      <c r="L99" s="69">
        <f>I99*1</f>
        <v>-10</v>
      </c>
      <c r="M99" s="69">
        <v>40</v>
      </c>
      <c r="N99" s="69">
        <v>52</v>
      </c>
      <c r="O99" s="69">
        <v>35</v>
      </c>
      <c r="P99" s="69">
        <f t="shared" si="27"/>
        <v>-5</v>
      </c>
      <c r="Q99" s="69" t="s">
        <v>224</v>
      </c>
      <c r="R99" s="69">
        <f>O99*0.8</f>
        <v>28</v>
      </c>
      <c r="S99" s="69">
        <f>P99*0.6</f>
        <v>-3</v>
      </c>
      <c r="T99" s="24">
        <v>4</v>
      </c>
      <c r="U99" s="24">
        <f t="shared" si="30"/>
        <v>5</v>
      </c>
      <c r="V99" s="24">
        <v>2</v>
      </c>
      <c r="W99" s="24">
        <f t="shared" si="31"/>
        <v>-2</v>
      </c>
      <c r="X99" s="24">
        <f>VLOOKUP(B:B,'[4]SQL Results'!$B$1:$P$65536,15,0)</f>
        <v>386.99</v>
      </c>
      <c r="Y99" s="24" t="s">
        <v>224</v>
      </c>
      <c r="Z99" s="24">
        <f>X99*0.05</f>
        <v>19.3495</v>
      </c>
      <c r="AA99" s="24"/>
      <c r="AB99" s="69">
        <v>900</v>
      </c>
      <c r="AC99" s="69">
        <v>1140</v>
      </c>
      <c r="AD99" s="69">
        <v>714.4</v>
      </c>
      <c r="AE99" s="69">
        <f t="shared" si="28"/>
        <v>-185.6</v>
      </c>
      <c r="AF99" s="69" t="s">
        <v>224</v>
      </c>
      <c r="AG99" s="69">
        <f>AD99*0.05</f>
        <v>35.72</v>
      </c>
      <c r="AH99" s="69">
        <f>AE99*0.04</f>
        <v>-7.424</v>
      </c>
      <c r="AI99" s="69">
        <f t="shared" si="32"/>
        <v>83</v>
      </c>
      <c r="AJ99" s="69">
        <f t="shared" si="33"/>
        <v>-20</v>
      </c>
    </row>
    <row r="100" customFormat="1" spans="1:36">
      <c r="A100" s="68">
        <v>98</v>
      </c>
      <c r="B100" s="71">
        <v>101453</v>
      </c>
      <c r="C100" s="70" t="s">
        <v>203</v>
      </c>
      <c r="D100" s="68" t="s">
        <v>109</v>
      </c>
      <c r="E100" s="73" t="s">
        <v>188</v>
      </c>
      <c r="F100" s="69">
        <v>18</v>
      </c>
      <c r="G100" s="69">
        <v>23</v>
      </c>
      <c r="H100" s="69">
        <v>11</v>
      </c>
      <c r="I100" s="69">
        <f t="shared" si="29"/>
        <v>-7</v>
      </c>
      <c r="J100" s="69" t="s">
        <v>224</v>
      </c>
      <c r="K100" s="69">
        <f>H100*1</f>
        <v>11</v>
      </c>
      <c r="L100" s="69">
        <f>I100*1</f>
        <v>-7</v>
      </c>
      <c r="M100" s="69">
        <v>74</v>
      </c>
      <c r="N100" s="69">
        <v>96</v>
      </c>
      <c r="O100" s="69">
        <v>134</v>
      </c>
      <c r="P100" s="69">
        <f t="shared" si="27"/>
        <v>60</v>
      </c>
      <c r="Q100" s="69" t="s">
        <v>21</v>
      </c>
      <c r="R100" s="69">
        <f>O100*2.5</f>
        <v>335</v>
      </c>
      <c r="S100" s="69"/>
      <c r="T100" s="24">
        <v>4</v>
      </c>
      <c r="U100" s="24">
        <f t="shared" si="30"/>
        <v>5</v>
      </c>
      <c r="V100" s="24">
        <v>0</v>
      </c>
      <c r="W100" s="24">
        <f t="shared" si="31"/>
        <v>-4</v>
      </c>
      <c r="X100" s="24" t="str">
        <f>VLOOKUP(B:B,'[4]SQL Results'!$B$1:$P$65536,15,0)</f>
        <v/>
      </c>
      <c r="Y100" s="24" t="s">
        <v>224</v>
      </c>
      <c r="Z100" s="24"/>
      <c r="AA100" s="24">
        <f>W100*5</f>
        <v>-20</v>
      </c>
      <c r="AB100" s="69">
        <v>1135</v>
      </c>
      <c r="AC100" s="69">
        <v>1402.5</v>
      </c>
      <c r="AD100" s="69">
        <v>2152.01</v>
      </c>
      <c r="AE100" s="69">
        <f t="shared" si="28"/>
        <v>1017.01</v>
      </c>
      <c r="AF100" s="69" t="s">
        <v>21</v>
      </c>
      <c r="AG100" s="69">
        <f>AD100*0.09</f>
        <v>193.6809</v>
      </c>
      <c r="AH100" s="69"/>
      <c r="AI100" s="69">
        <f t="shared" si="32"/>
        <v>540</v>
      </c>
      <c r="AJ100" s="69">
        <f t="shared" si="33"/>
        <v>-27</v>
      </c>
    </row>
    <row r="101" customFormat="1" spans="1:36">
      <c r="A101" s="68">
        <v>99</v>
      </c>
      <c r="B101" s="71">
        <v>102564</v>
      </c>
      <c r="C101" s="70" t="s">
        <v>205</v>
      </c>
      <c r="D101" s="68" t="s">
        <v>113</v>
      </c>
      <c r="E101" s="73" t="s">
        <v>188</v>
      </c>
      <c r="F101" s="69">
        <v>4</v>
      </c>
      <c r="G101" s="69">
        <v>6</v>
      </c>
      <c r="H101" s="69">
        <v>7</v>
      </c>
      <c r="I101" s="69">
        <f t="shared" si="29"/>
        <v>3</v>
      </c>
      <c r="J101" s="69" t="s">
        <v>21</v>
      </c>
      <c r="K101" s="69">
        <f>H101*3.5</f>
        <v>24.5</v>
      </c>
      <c r="L101" s="69"/>
      <c r="M101" s="69">
        <v>40</v>
      </c>
      <c r="N101" s="69">
        <v>52</v>
      </c>
      <c r="O101" s="69">
        <v>76</v>
      </c>
      <c r="P101" s="69">
        <f t="shared" si="27"/>
        <v>36</v>
      </c>
      <c r="Q101" s="69" t="s">
        <v>21</v>
      </c>
      <c r="R101" s="69">
        <f>O101*2.5</f>
        <v>190</v>
      </c>
      <c r="S101" s="69"/>
      <c r="T101" s="24">
        <v>4</v>
      </c>
      <c r="U101" s="24">
        <f t="shared" si="30"/>
        <v>5</v>
      </c>
      <c r="V101" s="24">
        <v>1</v>
      </c>
      <c r="W101" s="24">
        <f t="shared" si="31"/>
        <v>-3</v>
      </c>
      <c r="X101" s="24">
        <f>VLOOKUP(B:B,'[4]SQL Results'!$B$1:$P$65536,15,0)</f>
        <v>198</v>
      </c>
      <c r="Y101" s="24" t="s">
        <v>224</v>
      </c>
      <c r="Z101" s="24">
        <f>X101*0.05</f>
        <v>9.9</v>
      </c>
      <c r="AA101" s="24"/>
      <c r="AB101" s="69">
        <v>736</v>
      </c>
      <c r="AC101" s="69">
        <v>877.6</v>
      </c>
      <c r="AD101" s="69">
        <v>1491.38</v>
      </c>
      <c r="AE101" s="69">
        <f t="shared" si="28"/>
        <v>755.38</v>
      </c>
      <c r="AF101" s="69" t="s">
        <v>21</v>
      </c>
      <c r="AG101" s="69">
        <f>AD101*0.09</f>
        <v>134.2242</v>
      </c>
      <c r="AH101" s="69"/>
      <c r="AI101" s="69">
        <f t="shared" si="32"/>
        <v>359</v>
      </c>
      <c r="AJ101" s="69">
        <f t="shared" si="33"/>
        <v>0</v>
      </c>
    </row>
    <row r="102" customFormat="1" spans="1:36">
      <c r="A102" s="68">
        <v>100</v>
      </c>
      <c r="B102" s="71">
        <v>104838</v>
      </c>
      <c r="C102" s="72" t="s">
        <v>206</v>
      </c>
      <c r="D102" s="73"/>
      <c r="E102" s="73" t="s">
        <v>188</v>
      </c>
      <c r="F102" s="69">
        <v>4</v>
      </c>
      <c r="G102" s="69">
        <v>6</v>
      </c>
      <c r="H102" s="69">
        <v>1</v>
      </c>
      <c r="I102" s="69">
        <f t="shared" si="29"/>
        <v>-3</v>
      </c>
      <c r="J102" s="69" t="s">
        <v>224</v>
      </c>
      <c r="K102" s="69">
        <f>H102*1</f>
        <v>1</v>
      </c>
      <c r="L102" s="69">
        <f>I102*1</f>
        <v>-3</v>
      </c>
      <c r="M102" s="69">
        <v>40</v>
      </c>
      <c r="N102" s="69">
        <v>52</v>
      </c>
      <c r="O102" s="69">
        <v>45</v>
      </c>
      <c r="P102" s="69">
        <f t="shared" si="27"/>
        <v>5</v>
      </c>
      <c r="Q102" s="69" t="s">
        <v>20</v>
      </c>
      <c r="R102" s="69">
        <f>O102*1.5</f>
        <v>67.5</v>
      </c>
      <c r="S102" s="69"/>
      <c r="T102" s="24">
        <v>4</v>
      </c>
      <c r="U102" s="24">
        <f t="shared" si="30"/>
        <v>5</v>
      </c>
      <c r="V102" s="24">
        <v>6</v>
      </c>
      <c r="W102" s="24">
        <f t="shared" si="31"/>
        <v>2</v>
      </c>
      <c r="X102" s="24">
        <f>VLOOKUP(B:B,'[4]SQL Results'!$B$1:$P$65536,15,0)</f>
        <v>792.01</v>
      </c>
      <c r="Y102" s="24" t="s">
        <v>21</v>
      </c>
      <c r="Z102" s="24">
        <f>X102*0.1</f>
        <v>79.201</v>
      </c>
      <c r="AA102" s="24"/>
      <c r="AB102" s="69">
        <v>800</v>
      </c>
      <c r="AC102" s="69">
        <v>980</v>
      </c>
      <c r="AD102" s="69">
        <v>410.8</v>
      </c>
      <c r="AE102" s="69">
        <f t="shared" si="28"/>
        <v>-389.2</v>
      </c>
      <c r="AF102" s="69" t="s">
        <v>224</v>
      </c>
      <c r="AG102" s="69">
        <f>AD102*0.05</f>
        <v>20.54</v>
      </c>
      <c r="AH102" s="69">
        <f>AE102*0.04</f>
        <v>-15.568</v>
      </c>
      <c r="AI102" s="69">
        <f t="shared" si="32"/>
        <v>168</v>
      </c>
      <c r="AJ102" s="69">
        <f t="shared" si="33"/>
        <v>-19</v>
      </c>
    </row>
    <row r="103" s="13" customFormat="1" spans="1:36">
      <c r="A103" s="81"/>
      <c r="B103" s="66" t="s">
        <v>208</v>
      </c>
      <c r="C103" s="81"/>
      <c r="D103" s="66"/>
      <c r="E103" s="81"/>
      <c r="F103" s="69">
        <f>SUM(F3:F102)</f>
        <v>1548</v>
      </c>
      <c r="G103" s="69">
        <f>SUM(G3:G102)</f>
        <v>1938</v>
      </c>
      <c r="H103" s="69">
        <f>SUM(H3:H102)</f>
        <v>1154</v>
      </c>
      <c r="I103" s="69">
        <f t="shared" si="29"/>
        <v>-394</v>
      </c>
      <c r="J103" s="69" t="s">
        <v>224</v>
      </c>
      <c r="K103" s="69"/>
      <c r="L103" s="69"/>
      <c r="M103" s="69">
        <f>SUM(M3:M102)</f>
        <v>11663</v>
      </c>
      <c r="N103" s="69">
        <f>SUM(N3:N102)</f>
        <v>13716</v>
      </c>
      <c r="O103" s="69">
        <f>SUM(O3:O102)</f>
        <v>11378</v>
      </c>
      <c r="P103" s="69">
        <f t="shared" si="27"/>
        <v>-285</v>
      </c>
      <c r="Q103" s="69" t="s">
        <v>224</v>
      </c>
      <c r="R103" s="69">
        <f>O103*0.8</f>
        <v>9102.4</v>
      </c>
      <c r="S103" s="69">
        <f>P103*0.6</f>
        <v>-171</v>
      </c>
      <c r="T103" s="69">
        <f>SUM(T3:T102)</f>
        <v>502</v>
      </c>
      <c r="U103" s="69">
        <f>SUM(U3:U102)</f>
        <v>602</v>
      </c>
      <c r="V103" s="69">
        <f>SUM(V3:V102)</f>
        <v>253</v>
      </c>
      <c r="W103" s="24">
        <f t="shared" si="31"/>
        <v>-249</v>
      </c>
      <c r="X103" s="24"/>
      <c r="Y103" s="24" t="s">
        <v>224</v>
      </c>
      <c r="Z103" s="24">
        <f>X103*0.05</f>
        <v>0</v>
      </c>
      <c r="AA103" s="69"/>
      <c r="AB103" s="69">
        <f>SUM(AB3:AB102)</f>
        <v>429007.94</v>
      </c>
      <c r="AC103" s="69">
        <f>SUM(AC3:AC102)</f>
        <v>482711.61</v>
      </c>
      <c r="AD103" s="69">
        <f>SUM(AD3:AD102)</f>
        <v>334374.63</v>
      </c>
      <c r="AE103" s="69">
        <f t="shared" si="28"/>
        <v>-94633.31</v>
      </c>
      <c r="AF103" s="69" t="s">
        <v>224</v>
      </c>
      <c r="AG103" s="69">
        <f>AD103*0.05</f>
        <v>16718.7315</v>
      </c>
      <c r="AH103" s="69">
        <f>AE103*0.04</f>
        <v>-3785.3324</v>
      </c>
      <c r="AI103" s="69">
        <f t="shared" si="32"/>
        <v>25821</v>
      </c>
      <c r="AJ103" s="69">
        <f t="shared" si="33"/>
        <v>-3956</v>
      </c>
    </row>
  </sheetData>
  <mergeCells count="6">
    <mergeCell ref="A1:C1"/>
    <mergeCell ref="F1:L1"/>
    <mergeCell ref="M1:S1"/>
    <mergeCell ref="T1:AA1"/>
    <mergeCell ref="AB1:AC1"/>
    <mergeCell ref="AI1:AJ1"/>
  </mergeCells>
  <pageMargins left="0.699305555555556" right="0.699305555555556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I15"/>
  <sheetViews>
    <sheetView workbookViewId="0">
      <pane xSplit="3" ySplit="3" topLeftCell="D10" activePane="bottomRight" state="frozen"/>
      <selection/>
      <selection pane="topRight"/>
      <selection pane="bottomLeft"/>
      <selection pane="bottomRight" activeCell="J4" sqref="J4:J5"/>
    </sheetView>
  </sheetViews>
  <sheetFormatPr defaultColWidth="9" defaultRowHeight="27" customHeight="1"/>
  <cols>
    <col min="1" max="1" width="4.25" style="15" customWidth="1"/>
    <col min="2" max="2" width="10.375" style="15" customWidth="1"/>
    <col min="3" max="3" width="6.375" style="15" customWidth="1"/>
    <col min="4" max="4" width="14.3916666666667" style="16" customWidth="1"/>
    <col min="5" max="5" width="16" style="16" customWidth="1"/>
    <col min="6" max="6" width="12" style="15" customWidth="1"/>
    <col min="7" max="7" width="8.5" style="15" hidden="1" customWidth="1"/>
    <col min="8" max="9" width="8.75" style="15" customWidth="1"/>
    <col min="10" max="11" width="10.25" style="17" customWidth="1"/>
    <col min="12" max="12" width="18.375" style="17" customWidth="1"/>
    <col min="13" max="13" width="14.25" style="18" customWidth="1"/>
    <col min="14" max="14" width="9.25" style="15" customWidth="1"/>
    <col min="15" max="15" width="13.375" style="15" hidden="1" customWidth="1"/>
  </cols>
  <sheetData>
    <row r="1" customHeight="1" spans="1:14">
      <c r="A1" s="19" t="s">
        <v>226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</row>
    <row r="2" customHeight="1" spans="1:15">
      <c r="A2" s="20" t="s">
        <v>227</v>
      </c>
      <c r="B2" s="20"/>
      <c r="C2" s="20"/>
      <c r="D2" s="20"/>
      <c r="E2" s="20"/>
      <c r="F2" s="20"/>
      <c r="G2" s="20"/>
      <c r="H2" s="21" t="s">
        <v>228</v>
      </c>
      <c r="I2" s="21"/>
      <c r="J2" s="28" t="s">
        <v>1</v>
      </c>
      <c r="K2" s="28"/>
      <c r="L2" s="28" t="s">
        <v>229</v>
      </c>
      <c r="M2" s="28"/>
      <c r="N2" s="23"/>
      <c r="O2" s="40" t="s">
        <v>230</v>
      </c>
    </row>
    <row r="3" s="13" customFormat="1" customHeight="1" spans="1:15">
      <c r="A3" s="22" t="s">
        <v>4</v>
      </c>
      <c r="B3" s="22" t="s">
        <v>5</v>
      </c>
      <c r="C3" s="22" t="s">
        <v>6</v>
      </c>
      <c r="D3" s="22" t="s">
        <v>7</v>
      </c>
      <c r="E3" s="22" t="s">
        <v>8</v>
      </c>
      <c r="F3" s="22" t="s">
        <v>9</v>
      </c>
      <c r="G3" s="22"/>
      <c r="H3" s="22" t="s">
        <v>20</v>
      </c>
      <c r="I3" s="22" t="s">
        <v>21</v>
      </c>
      <c r="J3" s="22" t="s">
        <v>15</v>
      </c>
      <c r="K3" s="22" t="s">
        <v>231</v>
      </c>
      <c r="L3" s="22" t="s">
        <v>22</v>
      </c>
      <c r="M3" s="41" t="s">
        <v>232</v>
      </c>
      <c r="N3" s="42" t="s">
        <v>23</v>
      </c>
      <c r="O3" s="43"/>
    </row>
    <row r="4" s="14" customFormat="1" ht="35" customHeight="1" spans="1:15">
      <c r="A4" s="23">
        <v>1</v>
      </c>
      <c r="B4" s="24" t="s">
        <v>24</v>
      </c>
      <c r="C4" s="24">
        <v>133360</v>
      </c>
      <c r="D4" s="23" t="s">
        <v>25</v>
      </c>
      <c r="E4" s="24" t="s">
        <v>26</v>
      </c>
      <c r="F4" s="24" t="s">
        <v>27</v>
      </c>
      <c r="G4" s="24"/>
      <c r="H4" s="25">
        <v>1560</v>
      </c>
      <c r="I4" s="25">
        <v>1946</v>
      </c>
      <c r="J4" s="44" t="s">
        <v>233</v>
      </c>
      <c r="K4" s="44" t="s">
        <v>234</v>
      </c>
      <c r="L4" s="36" t="s">
        <v>235</v>
      </c>
      <c r="M4" s="45" t="s">
        <v>40</v>
      </c>
      <c r="N4" s="24" t="s">
        <v>236</v>
      </c>
      <c r="O4" s="46" t="s">
        <v>237</v>
      </c>
    </row>
    <row r="5" s="14" customFormat="1" ht="35" customHeight="1" spans="1:15">
      <c r="A5" s="23">
        <v>2</v>
      </c>
      <c r="B5" s="24"/>
      <c r="C5" s="24">
        <v>31440</v>
      </c>
      <c r="D5" s="23" t="s">
        <v>32</v>
      </c>
      <c r="E5" s="24" t="s">
        <v>33</v>
      </c>
      <c r="F5" s="24" t="s">
        <v>34</v>
      </c>
      <c r="G5" s="24"/>
      <c r="H5" s="26"/>
      <c r="I5" s="26"/>
      <c r="J5" s="44"/>
      <c r="K5" s="44"/>
      <c r="L5" s="36"/>
      <c r="M5" s="45" t="s">
        <v>40</v>
      </c>
      <c r="N5" s="24" t="s">
        <v>236</v>
      </c>
      <c r="O5" s="46" t="s">
        <v>237</v>
      </c>
    </row>
    <row r="6" s="14" customFormat="1" ht="35" customHeight="1" spans="1:61">
      <c r="A6" s="23">
        <v>3</v>
      </c>
      <c r="B6" s="27" t="s">
        <v>36</v>
      </c>
      <c r="C6" s="28">
        <v>136714</v>
      </c>
      <c r="D6" s="28" t="s">
        <v>41</v>
      </c>
      <c r="E6" s="28" t="s">
        <v>42</v>
      </c>
      <c r="F6" s="28" t="s">
        <v>43</v>
      </c>
      <c r="G6" s="28"/>
      <c r="H6" s="29">
        <v>11703</v>
      </c>
      <c r="I6" s="29">
        <v>13716</v>
      </c>
      <c r="J6" s="47" t="s">
        <v>238</v>
      </c>
      <c r="K6" s="47" t="s">
        <v>233</v>
      </c>
      <c r="L6" s="48" t="s">
        <v>239</v>
      </c>
      <c r="M6" s="45" t="s">
        <v>240</v>
      </c>
      <c r="N6" s="24" t="s">
        <v>236</v>
      </c>
      <c r="O6" s="24" t="s">
        <v>241</v>
      </c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</row>
    <row r="7" s="14" customFormat="1" ht="35" customHeight="1" spans="1:15">
      <c r="A7" s="23">
        <v>4</v>
      </c>
      <c r="B7" s="30"/>
      <c r="C7" s="24">
        <v>113826</v>
      </c>
      <c r="D7" s="23" t="s">
        <v>47</v>
      </c>
      <c r="E7" s="24" t="s">
        <v>48</v>
      </c>
      <c r="F7" s="24" t="s">
        <v>49</v>
      </c>
      <c r="G7" s="24"/>
      <c r="H7" s="31"/>
      <c r="I7" s="31"/>
      <c r="J7" s="47"/>
      <c r="K7" s="47"/>
      <c r="L7" s="48"/>
      <c r="M7" s="45" t="s">
        <v>240</v>
      </c>
      <c r="N7" s="24" t="s">
        <v>236</v>
      </c>
      <c r="O7" s="24" t="s">
        <v>241</v>
      </c>
    </row>
    <row r="8" ht="35" customHeight="1" spans="1:15">
      <c r="A8" s="23">
        <v>5</v>
      </c>
      <c r="B8" s="32"/>
      <c r="C8" s="24">
        <v>139379</v>
      </c>
      <c r="D8" s="23" t="s">
        <v>45</v>
      </c>
      <c r="E8" s="24" t="s">
        <v>46</v>
      </c>
      <c r="F8" s="24" t="s">
        <v>34</v>
      </c>
      <c r="G8" s="24"/>
      <c r="H8" s="33"/>
      <c r="I8" s="33"/>
      <c r="J8" s="47"/>
      <c r="K8" s="47"/>
      <c r="L8" s="48"/>
      <c r="M8" s="45" t="s">
        <v>240</v>
      </c>
      <c r="N8" s="24" t="s">
        <v>236</v>
      </c>
      <c r="O8" s="24" t="s">
        <v>241</v>
      </c>
    </row>
    <row r="9" ht="35" customHeight="1" spans="1:15">
      <c r="A9" s="23">
        <v>6</v>
      </c>
      <c r="B9" s="24"/>
      <c r="C9" s="34">
        <v>116987</v>
      </c>
      <c r="D9" s="35" t="s">
        <v>55</v>
      </c>
      <c r="E9" s="34" t="s">
        <v>56</v>
      </c>
      <c r="F9" s="24" t="s">
        <v>57</v>
      </c>
      <c r="G9" s="24">
        <v>198</v>
      </c>
      <c r="H9" s="24">
        <v>506</v>
      </c>
      <c r="I9" s="24">
        <v>606</v>
      </c>
      <c r="J9" s="49">
        <v>0.08</v>
      </c>
      <c r="K9" s="50">
        <v>0.1</v>
      </c>
      <c r="L9" s="51" t="s">
        <v>242</v>
      </c>
      <c r="M9" s="51">
        <v>0.05</v>
      </c>
      <c r="N9" s="24" t="s">
        <v>236</v>
      </c>
      <c r="O9" s="24" t="s">
        <v>237</v>
      </c>
    </row>
    <row r="10" ht="35" customHeight="1" spans="1:15">
      <c r="A10" s="23">
        <v>7</v>
      </c>
      <c r="B10" s="36" t="s">
        <v>59</v>
      </c>
      <c r="C10" s="34">
        <v>164949</v>
      </c>
      <c r="D10" s="34" t="s">
        <v>60</v>
      </c>
      <c r="E10" s="35" t="s">
        <v>61</v>
      </c>
      <c r="F10" s="36" t="s">
        <v>49</v>
      </c>
      <c r="G10" s="36"/>
      <c r="H10" s="37">
        <v>431254.57</v>
      </c>
      <c r="I10" s="37">
        <v>485486.02</v>
      </c>
      <c r="J10" s="52">
        <v>0.07</v>
      </c>
      <c r="K10" s="52">
        <v>0.09</v>
      </c>
      <c r="L10" s="53" t="s">
        <v>243</v>
      </c>
      <c r="M10" s="54">
        <v>0.05</v>
      </c>
      <c r="N10" s="24" t="s">
        <v>236</v>
      </c>
      <c r="O10" s="28" t="s">
        <v>237</v>
      </c>
    </row>
    <row r="11" ht="35" customHeight="1" spans="1:15">
      <c r="A11" s="23">
        <v>8</v>
      </c>
      <c r="B11" s="36"/>
      <c r="C11" s="34">
        <v>75138</v>
      </c>
      <c r="D11" s="34" t="s">
        <v>60</v>
      </c>
      <c r="E11" s="34" t="s">
        <v>64</v>
      </c>
      <c r="F11" s="36" t="s">
        <v>49</v>
      </c>
      <c r="G11" s="36"/>
      <c r="H11" s="38"/>
      <c r="I11" s="38"/>
      <c r="J11" s="55"/>
      <c r="K11" s="55"/>
      <c r="L11" s="56"/>
      <c r="M11" s="54">
        <v>0.05</v>
      </c>
      <c r="N11" s="24" t="s">
        <v>236</v>
      </c>
      <c r="O11" s="28"/>
    </row>
    <row r="12" ht="35" customHeight="1" spans="1:15">
      <c r="A12" s="23">
        <v>9</v>
      </c>
      <c r="B12" s="36"/>
      <c r="C12" s="34">
        <v>84174</v>
      </c>
      <c r="D12" s="34" t="s">
        <v>67</v>
      </c>
      <c r="E12" s="34" t="s">
        <v>68</v>
      </c>
      <c r="F12" s="36" t="s">
        <v>34</v>
      </c>
      <c r="G12" s="36"/>
      <c r="H12" s="38"/>
      <c r="I12" s="38"/>
      <c r="J12" s="55"/>
      <c r="K12" s="55"/>
      <c r="L12" s="56"/>
      <c r="M12" s="54">
        <v>0.05</v>
      </c>
      <c r="N12" s="24" t="s">
        <v>236</v>
      </c>
      <c r="O12" s="23" t="s">
        <v>241</v>
      </c>
    </row>
    <row r="13" ht="35" customHeight="1" spans="1:15">
      <c r="A13" s="23">
        <v>10</v>
      </c>
      <c r="B13" s="36"/>
      <c r="C13" s="34">
        <v>166880</v>
      </c>
      <c r="D13" s="34" t="s">
        <v>69</v>
      </c>
      <c r="E13" s="34" t="s">
        <v>70</v>
      </c>
      <c r="F13" s="24" t="s">
        <v>71</v>
      </c>
      <c r="G13" s="24"/>
      <c r="H13" s="38"/>
      <c r="I13" s="38"/>
      <c r="J13" s="55"/>
      <c r="K13" s="55"/>
      <c r="L13" s="56"/>
      <c r="M13" s="54">
        <v>0.05</v>
      </c>
      <c r="N13" s="24" t="s">
        <v>236</v>
      </c>
      <c r="O13" s="24" t="s">
        <v>237</v>
      </c>
    </row>
    <row r="14" ht="35" customHeight="1" spans="1:15">
      <c r="A14" s="23">
        <v>11</v>
      </c>
      <c r="B14" s="36"/>
      <c r="C14" s="34">
        <v>21580</v>
      </c>
      <c r="D14" s="34" t="s">
        <v>73</v>
      </c>
      <c r="E14" s="34" t="s">
        <v>74</v>
      </c>
      <c r="F14" s="24" t="s">
        <v>27</v>
      </c>
      <c r="G14" s="24"/>
      <c r="H14" s="39"/>
      <c r="I14" s="39"/>
      <c r="J14" s="57"/>
      <c r="K14" s="57"/>
      <c r="L14" s="58"/>
      <c r="M14" s="54">
        <v>0.05</v>
      </c>
      <c r="N14" s="24" t="s">
        <v>236</v>
      </c>
      <c r="O14" s="24" t="s">
        <v>241</v>
      </c>
    </row>
    <row r="15" customHeight="1" spans="1:14">
      <c r="A15" s="16" t="s">
        <v>244</v>
      </c>
      <c r="H15" s="15" t="s">
        <v>245</v>
      </c>
      <c r="N15" s="59" t="s">
        <v>246</v>
      </c>
    </row>
  </sheetData>
  <mergeCells count="24">
    <mergeCell ref="A1:N1"/>
    <mergeCell ref="A2:F2"/>
    <mergeCell ref="H2:I2"/>
    <mergeCell ref="J2:K2"/>
    <mergeCell ref="B4:B5"/>
    <mergeCell ref="B6:B8"/>
    <mergeCell ref="B10:B14"/>
    <mergeCell ref="H4:H5"/>
    <mergeCell ref="H6:H8"/>
    <mergeCell ref="H10:H14"/>
    <mergeCell ref="I4:I5"/>
    <mergeCell ref="I6:I8"/>
    <mergeCell ref="I10:I14"/>
    <mergeCell ref="J4:J5"/>
    <mergeCell ref="J6:J8"/>
    <mergeCell ref="J10:J14"/>
    <mergeCell ref="K4:K5"/>
    <mergeCell ref="K6:K8"/>
    <mergeCell ref="K10:K14"/>
    <mergeCell ref="L4:L5"/>
    <mergeCell ref="L6:L8"/>
    <mergeCell ref="L10:L14"/>
    <mergeCell ref="O2:O3"/>
    <mergeCell ref="O10:O11"/>
  </mergeCells>
  <pageMargins left="0.196527777777778" right="0.0777777777777778" top="0.629166666666667" bottom="0.15625" header="0.0777777777777778" footer="0.0777777777777778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2"/>
  <sheetViews>
    <sheetView workbookViewId="0">
      <selection activeCell="G17" sqref="G17"/>
    </sheetView>
  </sheetViews>
  <sheetFormatPr defaultColWidth="9" defaultRowHeight="13.5" outlineLevelRow="1"/>
  <sheetData>
    <row r="1" s="1" customFormat="1" ht="18" customHeight="1" spans="1:27">
      <c r="A1" s="2">
        <v>26</v>
      </c>
      <c r="B1" s="3">
        <v>105267</v>
      </c>
      <c r="C1" s="4" t="s">
        <v>247</v>
      </c>
      <c r="D1" s="5"/>
      <c r="E1" s="6" t="s">
        <v>93</v>
      </c>
      <c r="F1" s="7"/>
      <c r="G1" s="7"/>
      <c r="H1" s="8"/>
      <c r="I1" s="8"/>
      <c r="J1" s="8" t="s">
        <v>224</v>
      </c>
      <c r="K1" s="8">
        <f>H1*1</f>
        <v>0</v>
      </c>
      <c r="L1" s="8">
        <f>I1*1</f>
        <v>0</v>
      </c>
      <c r="M1" s="7"/>
      <c r="N1" s="7"/>
      <c r="O1" s="8"/>
      <c r="P1" s="8"/>
      <c r="Q1" s="8"/>
      <c r="R1" s="7"/>
      <c r="S1" s="7"/>
      <c r="T1" s="10"/>
      <c r="U1" s="11"/>
      <c r="V1" s="12"/>
      <c r="Z1"/>
      <c r="AA1"/>
    </row>
    <row r="2" customFormat="1" ht="14.25" spans="1:27">
      <c r="A2" s="2">
        <v>47</v>
      </c>
      <c r="B2" s="3">
        <v>105396</v>
      </c>
      <c r="C2" s="4" t="s">
        <v>248</v>
      </c>
      <c r="E2" s="9" t="s">
        <v>127</v>
      </c>
      <c r="H2" s="8"/>
      <c r="I2" s="8"/>
      <c r="J2" s="8" t="s">
        <v>224</v>
      </c>
      <c r="K2" s="8">
        <f>H2*1</f>
        <v>0</v>
      </c>
      <c r="L2" s="8">
        <f>I2*1</f>
        <v>0</v>
      </c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>
        <f>Y2-W2</f>
        <v>0</v>
      </c>
      <c r="AA2" t="s">
        <v>21</v>
      </c>
    </row>
  </sheetData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政策明细表（原始表）</vt:lpstr>
      <vt:lpstr>任务明细表</vt:lpstr>
      <vt:lpstr>10月</vt:lpstr>
      <vt:lpstr>任务明细表 （确定版）</vt:lpstr>
      <vt:lpstr>政策明细表 (2)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凉薄1416584028</cp:lastModifiedBy>
  <dcterms:created xsi:type="dcterms:W3CDTF">2018-09-27T06:07:00Z</dcterms:created>
  <dcterms:modified xsi:type="dcterms:W3CDTF">2019-01-31T07:56:03Z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  <property fmtid="{D5CDD505-2E9C-101B-9397-08002B2CF9AE}" pid="3" name="KSOReadingLayout">
    <vt:bool>false</vt:bool>
  </property>
</Properties>
</file>