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095" windowHeight="11640" activeTab="2"/>
  </bookViews>
  <sheets>
    <sheet name="旗舰店7.26-8.25个人任务" sheetId="1" r:id="rId1"/>
    <sheet name="7.26-8.25日藿香任务" sheetId="2" r:id="rId2"/>
    <sheet name="7.26-8.25核算最终版合计明细" sheetId="3" r:id="rId3"/>
  </sheets>
  <calcPr calcId="125725" concurrentCalc="0"/>
</workbook>
</file>

<file path=xl/calcChain.xml><?xml version="1.0" encoding="utf-8"?>
<calcChain xmlns="http://schemas.openxmlformats.org/spreadsheetml/2006/main">
  <c r="J33" i="3"/>
  <c r="I33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2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2"/>
  <c r="M4" i="2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"/>
  <c r="N31"/>
  <c r="N26"/>
  <c r="N20"/>
  <c r="N19"/>
  <c r="N18"/>
  <c r="N17"/>
  <c r="N16"/>
  <c r="N15"/>
  <c r="N14"/>
  <c r="N13"/>
  <c r="N12"/>
  <c r="N10"/>
  <c r="N9"/>
  <c r="N8"/>
  <c r="N7"/>
  <c r="N5"/>
  <c r="N4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"/>
  <c r="L4"/>
  <c r="L3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CD35" i="1"/>
  <c r="CC35"/>
  <c r="BP35"/>
  <c r="BO35"/>
  <c r="BI35"/>
  <c r="BH35"/>
  <c r="BB35"/>
  <c r="BA35"/>
  <c r="AU35"/>
  <c r="AT35"/>
  <c r="AU10"/>
  <c r="AU14"/>
  <c r="AJ3"/>
  <c r="AL3"/>
  <c r="AN3"/>
  <c r="AP3"/>
  <c r="AR3"/>
  <c r="AT3"/>
  <c r="AJ4"/>
  <c r="AL4"/>
  <c r="AN4"/>
  <c r="AP4"/>
  <c r="AR4"/>
  <c r="AT4"/>
  <c r="AJ5"/>
  <c r="AL5"/>
  <c r="AN5"/>
  <c r="AP5"/>
  <c r="AT5"/>
  <c r="AJ6"/>
  <c r="AL6"/>
  <c r="AN6"/>
  <c r="AP6"/>
  <c r="AT6"/>
  <c r="AJ7"/>
  <c r="AL7"/>
  <c r="AN7"/>
  <c r="AP7"/>
  <c r="AT7"/>
  <c r="AJ8"/>
  <c r="AL8"/>
  <c r="AN8"/>
  <c r="AP8"/>
  <c r="AT8"/>
  <c r="AJ9"/>
  <c r="AL9"/>
  <c r="AT9"/>
  <c r="AT10"/>
  <c r="AJ11"/>
  <c r="AL11"/>
  <c r="AN11"/>
  <c r="AT11"/>
  <c r="AT12"/>
  <c r="AT13"/>
  <c r="AT14"/>
  <c r="AJ15"/>
  <c r="AN15"/>
  <c r="AT15"/>
  <c r="AJ16"/>
  <c r="AT16"/>
  <c r="AJ17"/>
  <c r="AT17"/>
  <c r="AJ18"/>
  <c r="AL18"/>
  <c r="AT18"/>
  <c r="AJ19"/>
  <c r="AL19"/>
  <c r="AT19"/>
  <c r="AT20"/>
  <c r="AT21"/>
  <c r="AT22"/>
  <c r="AT23"/>
  <c r="AT24"/>
  <c r="AT25"/>
  <c r="AT26"/>
  <c r="AT27"/>
  <c r="AT28"/>
  <c r="AT29"/>
  <c r="AT30"/>
  <c r="AT31"/>
  <c r="AT32"/>
  <c r="AT33"/>
  <c r="AT34"/>
  <c r="AC5"/>
  <c r="AD6"/>
  <c r="AC6"/>
  <c r="AD8"/>
  <c r="AC8"/>
  <c r="AC13"/>
  <c r="AC14"/>
  <c r="AC15"/>
  <c r="AC19"/>
  <c r="AC20"/>
  <c r="AC35"/>
  <c r="S3"/>
  <c r="V3"/>
  <c r="Z3"/>
  <c r="AB3"/>
  <c r="S4"/>
  <c r="Z4"/>
  <c r="AB4"/>
  <c r="AB5"/>
  <c r="AB6"/>
  <c r="S7"/>
  <c r="X7"/>
  <c r="AB7"/>
  <c r="AB8"/>
  <c r="S9"/>
  <c r="AB9"/>
  <c r="S10"/>
  <c r="V10"/>
  <c r="AB10"/>
  <c r="S11"/>
  <c r="AB11"/>
  <c r="S12"/>
  <c r="V12"/>
  <c r="X12"/>
  <c r="Z12"/>
  <c r="AB12"/>
  <c r="AB13"/>
  <c r="AB14"/>
  <c r="AB15"/>
  <c r="AB16"/>
  <c r="AB17"/>
  <c r="S18"/>
  <c r="V18"/>
  <c r="Z18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L35"/>
  <c r="K3"/>
  <c r="K4"/>
  <c r="K5"/>
  <c r="K6"/>
  <c r="K7"/>
  <c r="K8"/>
  <c r="K9"/>
  <c r="K14"/>
  <c r="K18"/>
  <c r="K19"/>
  <c r="K24"/>
  <c r="K26"/>
  <c r="K27"/>
  <c r="K28"/>
  <c r="K35"/>
  <c r="CJ4"/>
  <c r="BB5"/>
  <c r="BP5"/>
  <c r="CJ5"/>
  <c r="CJ6"/>
  <c r="CJ7"/>
  <c r="CJ8"/>
  <c r="BI9"/>
  <c r="BP9"/>
  <c r="CJ9"/>
  <c r="CJ10"/>
  <c r="CJ11"/>
  <c r="BP12"/>
  <c r="CJ12"/>
  <c r="BB13"/>
  <c r="BI13"/>
  <c r="BP13"/>
  <c r="CJ13"/>
  <c r="BB14"/>
  <c r="BI14"/>
  <c r="BP14"/>
  <c r="CJ14"/>
  <c r="CJ15"/>
  <c r="CJ16"/>
  <c r="CJ17"/>
  <c r="BI18"/>
  <c r="CJ18"/>
  <c r="BB19"/>
  <c r="BI19"/>
  <c r="CJ19"/>
  <c r="BB20"/>
  <c r="BI20"/>
  <c r="BP20"/>
  <c r="CD20"/>
  <c r="CJ20"/>
  <c r="CJ21"/>
  <c r="CJ22"/>
  <c r="CJ23"/>
  <c r="BB24"/>
  <c r="CJ24"/>
  <c r="BB25"/>
  <c r="BI25"/>
  <c r="BP25"/>
  <c r="CJ25"/>
  <c r="BI26"/>
  <c r="BP26"/>
  <c r="CJ26"/>
  <c r="BI27"/>
  <c r="BP27"/>
  <c r="CJ27"/>
  <c r="BI28"/>
  <c r="CJ28"/>
  <c r="CJ29"/>
  <c r="BP30"/>
  <c r="CJ30"/>
  <c r="BB31"/>
  <c r="CJ31"/>
  <c r="CJ32"/>
  <c r="CJ33"/>
  <c r="CJ34"/>
  <c r="CJ3"/>
  <c r="BA4"/>
  <c r="BH4"/>
  <c r="BO4"/>
  <c r="BW4"/>
  <c r="CA4"/>
  <c r="CC4"/>
  <c r="CI4"/>
  <c r="BH5"/>
  <c r="BO5"/>
  <c r="BW5"/>
  <c r="CC5"/>
  <c r="CI5"/>
  <c r="BA6"/>
  <c r="BH6"/>
  <c r="BO6"/>
  <c r="CC6"/>
  <c r="CI6"/>
  <c r="BA7"/>
  <c r="BH7"/>
  <c r="BO7"/>
  <c r="BW7"/>
  <c r="CC7"/>
  <c r="CI7"/>
  <c r="BA8"/>
  <c r="BH8"/>
  <c r="BO8"/>
  <c r="CC8"/>
  <c r="CI8"/>
  <c r="BA9"/>
  <c r="BH9"/>
  <c r="BO9"/>
  <c r="CC9"/>
  <c r="CI9"/>
  <c r="BA10"/>
  <c r="BH10"/>
  <c r="BO10"/>
  <c r="CC10"/>
  <c r="CI10"/>
  <c r="BA11"/>
  <c r="BH11"/>
  <c r="BO11"/>
  <c r="CC11"/>
  <c r="CI11"/>
  <c r="BA12"/>
  <c r="BH12"/>
  <c r="BO12"/>
  <c r="CC12"/>
  <c r="CI12"/>
  <c r="CC13"/>
  <c r="CI13"/>
  <c r="BH14"/>
  <c r="BO14"/>
  <c r="CC14"/>
  <c r="CI14"/>
  <c r="BA15"/>
  <c r="BH15"/>
  <c r="BO15"/>
  <c r="CC15"/>
  <c r="CI15"/>
  <c r="BA16"/>
  <c r="BH16"/>
  <c r="BO16"/>
  <c r="CC16"/>
  <c r="CI16"/>
  <c r="BA17"/>
  <c r="BH17"/>
  <c r="BO17"/>
  <c r="CC17"/>
  <c r="CI17"/>
  <c r="BA18"/>
  <c r="BH18"/>
  <c r="BO18"/>
  <c r="CC18"/>
  <c r="CI18"/>
  <c r="BH19"/>
  <c r="BO19"/>
  <c r="CC19"/>
  <c r="CI19"/>
  <c r="BH20"/>
  <c r="BO20"/>
  <c r="CC20"/>
  <c r="CI20"/>
  <c r="CC21"/>
  <c r="CI21"/>
  <c r="BA22"/>
  <c r="BO22"/>
  <c r="CC22"/>
  <c r="CI22"/>
  <c r="CC23"/>
  <c r="CI23"/>
  <c r="BH24"/>
  <c r="BO24"/>
  <c r="CC24"/>
  <c r="CI24"/>
  <c r="CC25"/>
  <c r="CI25"/>
  <c r="BA26"/>
  <c r="BO26"/>
  <c r="CC26"/>
  <c r="CI26"/>
  <c r="BA27"/>
  <c r="CC27"/>
  <c r="CI27"/>
  <c r="BA28"/>
  <c r="BH28"/>
  <c r="BO28"/>
  <c r="CC28"/>
  <c r="CI28"/>
  <c r="CC29"/>
  <c r="CI29"/>
  <c r="BA30"/>
  <c r="BO30"/>
  <c r="CC30"/>
  <c r="CI30"/>
  <c r="BH31"/>
  <c r="CC31"/>
  <c r="CI31"/>
  <c r="CC32"/>
  <c r="CI32"/>
  <c r="CC33"/>
  <c r="CI33"/>
  <c r="BO34"/>
  <c r="CC34"/>
  <c r="CI34"/>
  <c r="BA3"/>
  <c r="BH3"/>
  <c r="BO3"/>
  <c r="BW3"/>
  <c r="CA3"/>
  <c r="CC3"/>
  <c r="CI3"/>
  <c r="AB36"/>
  <c r="AB37"/>
  <c r="CB4"/>
  <c r="CB5"/>
  <c r="CB6"/>
  <c r="CB7"/>
  <c r="CB8"/>
  <c r="CB9"/>
  <c r="CB10"/>
  <c r="CB11"/>
  <c r="CB12"/>
  <c r="CB13"/>
  <c r="CB14"/>
  <c r="CB15"/>
  <c r="CB16"/>
  <c r="CB17"/>
  <c r="CB18"/>
  <c r="CB19"/>
  <c r="CB20"/>
  <c r="CB21"/>
  <c r="CB22"/>
  <c r="CB23"/>
  <c r="CB24"/>
  <c r="CB25"/>
  <c r="CB26"/>
  <c r="CB27"/>
  <c r="CB28"/>
  <c r="CB29"/>
  <c r="CB30"/>
  <c r="CB31"/>
  <c r="CB32"/>
  <c r="CB33"/>
  <c r="CB34"/>
  <c r="CB3"/>
  <c r="O33" i="2"/>
  <c r="F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O3"/>
  <c r="CG3" i="1"/>
  <c r="CG4"/>
  <c r="CG5"/>
  <c r="CG6"/>
  <c r="CG7"/>
  <c r="CG8"/>
  <c r="CG9"/>
  <c r="CG10"/>
  <c r="CG12"/>
  <c r="CG13"/>
  <c r="CG14"/>
  <c r="CG18"/>
  <c r="CG19"/>
  <c r="CG20"/>
  <c r="CG21"/>
  <c r="CG22"/>
  <c r="CG23"/>
  <c r="CG33"/>
  <c r="CF3"/>
  <c r="CF4"/>
  <c r="CF5"/>
  <c r="CF6"/>
  <c r="CF7"/>
  <c r="CF8"/>
  <c r="CF9"/>
  <c r="CF10"/>
  <c r="CF12"/>
  <c r="CF13"/>
  <c r="CF14"/>
  <c r="CF18"/>
  <c r="CF19"/>
  <c r="CF20"/>
  <c r="CF21"/>
  <c r="CF22"/>
  <c r="CF23"/>
  <c r="CF24"/>
  <c r="CF25"/>
  <c r="CF26"/>
  <c r="CF27"/>
  <c r="CF28"/>
  <c r="CF29"/>
  <c r="CF30"/>
  <c r="CF31"/>
  <c r="CF32"/>
  <c r="CF33"/>
  <c r="F33"/>
  <c r="CE33"/>
  <c r="BS33"/>
  <c r="BR33"/>
  <c r="BQ33"/>
  <c r="BL33"/>
  <c r="BK33"/>
  <c r="BJ33"/>
  <c r="BE33"/>
  <c r="BD33"/>
  <c r="BC33"/>
  <c r="AX3"/>
  <c r="AX4"/>
  <c r="AX5"/>
  <c r="AX6"/>
  <c r="AX7"/>
  <c r="AX8"/>
  <c r="AX9"/>
  <c r="AX10"/>
  <c r="AX12"/>
  <c r="AX14"/>
  <c r="AX18"/>
  <c r="AX19"/>
  <c r="AX20"/>
  <c r="AX21"/>
  <c r="AX22"/>
  <c r="AX23"/>
  <c r="AX33"/>
  <c r="AW3"/>
  <c r="AW4"/>
  <c r="AW5"/>
  <c r="AW6"/>
  <c r="AW7"/>
  <c r="AW8"/>
  <c r="AW9"/>
  <c r="AW10"/>
  <c r="AW12"/>
  <c r="AW14"/>
  <c r="AW18"/>
  <c r="AW19"/>
  <c r="AW20"/>
  <c r="AW21"/>
  <c r="AW22"/>
  <c r="AW23"/>
  <c r="AW33"/>
  <c r="AV33"/>
  <c r="AF33"/>
  <c r="AE33"/>
  <c r="AD33"/>
  <c r="O11"/>
  <c r="O13"/>
  <c r="O15"/>
  <c r="O16"/>
  <c r="O17"/>
  <c r="O21"/>
  <c r="O22"/>
  <c r="O23"/>
  <c r="O24"/>
  <c r="O25"/>
  <c r="O26"/>
  <c r="O27"/>
  <c r="O28"/>
  <c r="O29"/>
  <c r="O30"/>
  <c r="O31"/>
  <c r="O32"/>
  <c r="O33"/>
  <c r="N3"/>
  <c r="N4"/>
  <c r="N5"/>
  <c r="N6"/>
  <c r="N7"/>
  <c r="N8"/>
  <c r="N11"/>
  <c r="N13"/>
  <c r="N15"/>
  <c r="N16"/>
  <c r="N17"/>
  <c r="N21"/>
  <c r="N22"/>
  <c r="N23"/>
  <c r="N24"/>
  <c r="N25"/>
  <c r="N26"/>
  <c r="N27"/>
  <c r="N28"/>
  <c r="N29"/>
  <c r="N30"/>
  <c r="N31"/>
  <c r="N32"/>
  <c r="N33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CE32"/>
  <c r="BS32"/>
  <c r="BR32"/>
  <c r="BQ32"/>
  <c r="BL32"/>
  <c r="BK32"/>
  <c r="BJ32"/>
  <c r="BE32"/>
  <c r="BD32"/>
  <c r="BC32"/>
  <c r="AV32"/>
  <c r="AF32"/>
  <c r="AE32"/>
  <c r="AD32"/>
  <c r="CE31"/>
  <c r="BS31"/>
  <c r="BR31"/>
  <c r="BQ31"/>
  <c r="BL31"/>
  <c r="BK31"/>
  <c r="BJ31"/>
  <c r="BE31"/>
  <c r="BD31"/>
  <c r="BC31"/>
  <c r="AV31"/>
  <c r="AF31"/>
  <c r="AE31"/>
  <c r="AD31"/>
  <c r="CE30"/>
  <c r="BS30"/>
  <c r="BR30"/>
  <c r="BQ30"/>
  <c r="BL30"/>
  <c r="BK30"/>
  <c r="BJ30"/>
  <c r="BE30"/>
  <c r="BD30"/>
  <c r="BC30"/>
  <c r="AV30"/>
  <c r="AF30"/>
  <c r="AE30"/>
  <c r="AD30"/>
  <c r="CE29"/>
  <c r="BS29"/>
  <c r="BR29"/>
  <c r="BQ29"/>
  <c r="BL29"/>
  <c r="BK29"/>
  <c r="BJ29"/>
  <c r="BE29"/>
  <c r="BD29"/>
  <c r="BC29"/>
  <c r="AV29"/>
  <c r="AF29"/>
  <c r="AE29"/>
  <c r="AD29"/>
  <c r="CE28"/>
  <c r="BS28"/>
  <c r="BR28"/>
  <c r="BQ28"/>
  <c r="BL28"/>
  <c r="BK28"/>
  <c r="BJ28"/>
  <c r="BE28"/>
  <c r="BD28"/>
  <c r="BC28"/>
  <c r="AV28"/>
  <c r="AF28"/>
  <c r="AE28"/>
  <c r="AD28"/>
  <c r="CE27"/>
  <c r="BS27"/>
  <c r="BR27"/>
  <c r="BQ27"/>
  <c r="BL27"/>
  <c r="BK27"/>
  <c r="BJ27"/>
  <c r="BE27"/>
  <c r="BD27"/>
  <c r="BC27"/>
  <c r="AV27"/>
  <c r="AF27"/>
  <c r="AE27"/>
  <c r="AD27"/>
  <c r="CE26"/>
  <c r="BS26"/>
  <c r="BR26"/>
  <c r="BQ26"/>
  <c r="BL26"/>
  <c r="BK26"/>
  <c r="BJ26"/>
  <c r="BE26"/>
  <c r="BD26"/>
  <c r="BC26"/>
  <c r="AV26"/>
  <c r="AF26"/>
  <c r="AE26"/>
  <c r="AD26"/>
  <c r="CE25"/>
  <c r="BS25"/>
  <c r="BR25"/>
  <c r="BQ25"/>
  <c r="BL25"/>
  <c r="BK25"/>
  <c r="BJ25"/>
  <c r="BE25"/>
  <c r="BD25"/>
  <c r="BC25"/>
  <c r="AV25"/>
  <c r="AF25"/>
  <c r="AE25"/>
  <c r="AD25"/>
  <c r="CE24"/>
  <c r="BS24"/>
  <c r="BR24"/>
  <c r="BQ24"/>
  <c r="BL24"/>
  <c r="BK24"/>
  <c r="BJ24"/>
  <c r="BE24"/>
  <c r="BD24"/>
  <c r="BC24"/>
  <c r="AV24"/>
  <c r="AF24"/>
  <c r="AE24"/>
  <c r="AD24"/>
  <c r="CE23"/>
  <c r="BS23"/>
  <c r="BR23"/>
  <c r="BQ23"/>
  <c r="BL23"/>
  <c r="BK23"/>
  <c r="BJ23"/>
  <c r="BE23"/>
  <c r="BD23"/>
  <c r="BC23"/>
  <c r="AV23"/>
  <c r="AF23"/>
  <c r="AE23"/>
  <c r="AD23"/>
  <c r="CE22"/>
  <c r="BS22"/>
  <c r="BR22"/>
  <c r="BQ22"/>
  <c r="BL22"/>
  <c r="BK22"/>
  <c r="BJ22"/>
  <c r="BE22"/>
  <c r="BD22"/>
  <c r="BC22"/>
  <c r="AV22"/>
  <c r="AF22"/>
  <c r="AE22"/>
  <c r="AD22"/>
  <c r="CE21"/>
  <c r="BS21"/>
  <c r="BR21"/>
  <c r="BQ21"/>
  <c r="BL21"/>
  <c r="BK21"/>
  <c r="BJ21"/>
  <c r="BE21"/>
  <c r="BD21"/>
  <c r="BC21"/>
  <c r="AV21"/>
  <c r="AF21"/>
  <c r="AE21"/>
  <c r="AD21"/>
  <c r="CE20"/>
  <c r="BS20"/>
  <c r="BR20"/>
  <c r="BQ20"/>
  <c r="BL20"/>
  <c r="BK20"/>
  <c r="BJ20"/>
  <c r="BE20"/>
  <c r="BD20"/>
  <c r="BC20"/>
  <c r="AV20"/>
  <c r="AF20"/>
  <c r="AE20"/>
  <c r="AD20"/>
  <c r="CE19"/>
  <c r="BS19"/>
  <c r="BR19"/>
  <c r="BQ19"/>
  <c r="BL19"/>
  <c r="BK19"/>
  <c r="BJ19"/>
  <c r="BE19"/>
  <c r="BD19"/>
  <c r="BC19"/>
  <c r="AV19"/>
  <c r="AF19"/>
  <c r="AE19"/>
  <c r="AD19"/>
  <c r="CE18"/>
  <c r="BS18"/>
  <c r="BR18"/>
  <c r="BQ18"/>
  <c r="BL18"/>
  <c r="BK18"/>
  <c r="BJ18"/>
  <c r="BE18"/>
  <c r="BD18"/>
  <c r="BC18"/>
  <c r="AV18"/>
  <c r="AF18"/>
  <c r="AE18"/>
  <c r="AD18"/>
  <c r="CE17"/>
  <c r="BS17"/>
  <c r="BR17"/>
  <c r="BQ17"/>
  <c r="BL17"/>
  <c r="BK17"/>
  <c r="BJ17"/>
  <c r="BE17"/>
  <c r="BD17"/>
  <c r="BC17"/>
  <c r="AV17"/>
  <c r="AF17"/>
  <c r="AE17"/>
  <c r="AD17"/>
  <c r="CE16"/>
  <c r="BS16"/>
  <c r="BR16"/>
  <c r="BQ16"/>
  <c r="BL16"/>
  <c r="BK16"/>
  <c r="BJ16"/>
  <c r="BE16"/>
  <c r="BD16"/>
  <c r="BC16"/>
  <c r="AV16"/>
  <c r="AF16"/>
  <c r="AE16"/>
  <c r="AD16"/>
  <c r="CE15"/>
  <c r="BS15"/>
  <c r="BR15"/>
  <c r="BQ15"/>
  <c r="BL15"/>
  <c r="BK15"/>
  <c r="BJ15"/>
  <c r="BE15"/>
  <c r="BD15"/>
  <c r="BC15"/>
  <c r="AV15"/>
  <c r="AF15"/>
  <c r="AE15"/>
  <c r="AD15"/>
  <c r="CE14"/>
  <c r="BS14"/>
  <c r="BR14"/>
  <c r="BQ14"/>
  <c r="BL14"/>
  <c r="BK14"/>
  <c r="BJ14"/>
  <c r="BE14"/>
  <c r="BD14"/>
  <c r="BC14"/>
  <c r="AV14"/>
  <c r="AF14"/>
  <c r="AE14"/>
  <c r="AD14"/>
  <c r="CE13"/>
  <c r="BS13"/>
  <c r="BR13"/>
  <c r="BQ13"/>
  <c r="BL13"/>
  <c r="BK13"/>
  <c r="BJ13"/>
  <c r="BE13"/>
  <c r="BD13"/>
  <c r="BC13"/>
  <c r="AV13"/>
  <c r="AF13"/>
  <c r="AE13"/>
  <c r="AD13"/>
  <c r="CE12"/>
  <c r="BS12"/>
  <c r="BR12"/>
  <c r="BQ12"/>
  <c r="BL12"/>
  <c r="BK12"/>
  <c r="BJ12"/>
  <c r="BE12"/>
  <c r="BD12"/>
  <c r="BC12"/>
  <c r="AV12"/>
  <c r="AF12"/>
  <c r="AE12"/>
  <c r="AD12"/>
  <c r="CE11"/>
  <c r="BS11"/>
  <c r="BR11"/>
  <c r="BQ11"/>
  <c r="BL11"/>
  <c r="BK11"/>
  <c r="BJ11"/>
  <c r="BE11"/>
  <c r="BD11"/>
  <c r="BC11"/>
  <c r="AV11"/>
  <c r="AF11"/>
  <c r="AE11"/>
  <c r="AD11"/>
  <c r="CE10"/>
  <c r="BS10"/>
  <c r="BR10"/>
  <c r="BQ10"/>
  <c r="BL10"/>
  <c r="BK10"/>
  <c r="BJ10"/>
  <c r="BE10"/>
  <c r="BD10"/>
  <c r="BC10"/>
  <c r="AV10"/>
  <c r="AF10"/>
  <c r="AE10"/>
  <c r="AD10"/>
  <c r="CE9"/>
  <c r="BS9"/>
  <c r="BR9"/>
  <c r="BQ9"/>
  <c r="BL9"/>
  <c r="BK9"/>
  <c r="BJ9"/>
  <c r="BE9"/>
  <c r="BD9"/>
  <c r="BC9"/>
  <c r="AV9"/>
  <c r="AF9"/>
  <c r="AE9"/>
  <c r="AD9"/>
  <c r="CE8"/>
  <c r="BS8"/>
  <c r="BR8"/>
  <c r="BQ8"/>
  <c r="BL8"/>
  <c r="BK8"/>
  <c r="BJ8"/>
  <c r="BE8"/>
  <c r="BD8"/>
  <c r="BC8"/>
  <c r="AV8"/>
  <c r="AF8"/>
  <c r="AE8"/>
  <c r="CE7"/>
  <c r="BS7"/>
  <c r="BR7"/>
  <c r="BQ7"/>
  <c r="BL7"/>
  <c r="BK7"/>
  <c r="BJ7"/>
  <c r="BE7"/>
  <c r="BD7"/>
  <c r="BC7"/>
  <c r="AV7"/>
  <c r="AF7"/>
  <c r="AE7"/>
  <c r="AD7"/>
  <c r="CE6"/>
  <c r="BS6"/>
  <c r="BR6"/>
  <c r="BQ6"/>
  <c r="BL6"/>
  <c r="BK6"/>
  <c r="BJ6"/>
  <c r="BE6"/>
  <c r="BD6"/>
  <c r="BC6"/>
  <c r="AV6"/>
  <c r="AF6"/>
  <c r="AE6"/>
  <c r="CE5"/>
  <c r="BS5"/>
  <c r="BR5"/>
  <c r="BQ5"/>
  <c r="BL5"/>
  <c r="BK5"/>
  <c r="BJ5"/>
  <c r="BE5"/>
  <c r="BD5"/>
  <c r="BC5"/>
  <c r="AV5"/>
  <c r="AF5"/>
  <c r="AE5"/>
  <c r="AD5"/>
  <c r="CE4"/>
  <c r="BS4"/>
  <c r="BR4"/>
  <c r="BQ4"/>
  <c r="BL4"/>
  <c r="BK4"/>
  <c r="BJ4"/>
  <c r="BE4"/>
  <c r="BD4"/>
  <c r="BC4"/>
  <c r="AV4"/>
  <c r="AF4"/>
  <c r="AE4"/>
  <c r="AD4"/>
  <c r="CE3"/>
  <c r="BS3"/>
  <c r="BR3"/>
  <c r="BQ3"/>
  <c r="BL3"/>
  <c r="BK3"/>
  <c r="BJ3"/>
  <c r="BE3"/>
  <c r="BD3"/>
  <c r="BC3"/>
  <c r="AV3"/>
  <c r="AF3"/>
  <c r="AE3"/>
  <c r="AD3"/>
</calcChain>
</file>

<file path=xl/sharedStrings.xml><?xml version="1.0" encoding="utf-8"?>
<sst xmlns="http://schemas.openxmlformats.org/spreadsheetml/2006/main" count="346" uniqueCount="135">
  <si>
    <t>序号</t>
  </si>
  <si>
    <t>门店ID</t>
  </si>
  <si>
    <t>门店名称</t>
  </si>
  <si>
    <t>挑战者ID</t>
  </si>
  <si>
    <t>挑战者</t>
  </si>
  <si>
    <t>系数</t>
  </si>
  <si>
    <t>备注</t>
  </si>
  <si>
    <t>阿胶</t>
  </si>
  <si>
    <t>补肾系列</t>
  </si>
  <si>
    <t>感冒系列（盒数）</t>
  </si>
  <si>
    <t>西洋参燕窝</t>
  </si>
  <si>
    <t>藏药</t>
  </si>
  <si>
    <t>大保健</t>
  </si>
  <si>
    <t>胃肠系列（盒数）</t>
  </si>
  <si>
    <t>旗舰店</t>
  </si>
  <si>
    <t>实际销售</t>
  </si>
  <si>
    <t>剔除买三赠一销售</t>
  </si>
  <si>
    <t>核算数量奖励（保底60）</t>
  </si>
  <si>
    <t>处罚（20元一盒）</t>
  </si>
  <si>
    <t>挑战1（75）</t>
  </si>
  <si>
    <t>挑战2（90）</t>
  </si>
  <si>
    <t>挑战3（105）</t>
  </si>
  <si>
    <t>挑战档数</t>
  </si>
  <si>
    <t>补肾益寿（7.9.12）</t>
  </si>
  <si>
    <t>剔除买三赠一</t>
  </si>
  <si>
    <t>蚕蛾公补（3.5.7）</t>
  </si>
  <si>
    <t>剔除买一赠一</t>
  </si>
  <si>
    <t>五子（6.9.12）</t>
  </si>
  <si>
    <t>六味（2.5,3.5,5）</t>
  </si>
  <si>
    <t>合计销售</t>
  </si>
  <si>
    <t>处罚5%</t>
  </si>
  <si>
    <t>挑战1</t>
  </si>
  <si>
    <t>挑战2</t>
  </si>
  <si>
    <t>挑战3</t>
  </si>
  <si>
    <t>连花（1.5,2.5,3.5）</t>
  </si>
  <si>
    <t>炎可宁（2.5,3.5,5）</t>
  </si>
  <si>
    <t>奥肯能（1.5,2.5,3.5）</t>
  </si>
  <si>
    <t>感冒清热，小儿感冒，小儿解感，小快克，小儿清热止咳（1.5,2,3）</t>
  </si>
  <si>
    <t>散列通（1,1.5,2）</t>
  </si>
  <si>
    <t>合计盒数</t>
  </si>
  <si>
    <t>处罚（1.5）</t>
  </si>
  <si>
    <t>实际销售奖励（4%，6%，9%）</t>
  </si>
  <si>
    <t>处罚（4%）</t>
  </si>
  <si>
    <t>实际销售奖励（保底15%）</t>
  </si>
  <si>
    <t>处罚（5%）</t>
  </si>
  <si>
    <t>挑战1（15%）</t>
  </si>
  <si>
    <t>挑战2（20%）</t>
  </si>
  <si>
    <t>挑战3（25%）</t>
  </si>
  <si>
    <t>实际销售（保底10%）</t>
  </si>
  <si>
    <t>挑战1（10%)</t>
  </si>
  <si>
    <t>挑战2(12%)</t>
  </si>
  <si>
    <t>挑战3(15%)</t>
  </si>
  <si>
    <t>剔除沉香买三赠一</t>
  </si>
  <si>
    <t>肠炎宁（2.3.4）</t>
  </si>
  <si>
    <t>处罚（2元一盒）</t>
  </si>
  <si>
    <t>黄长菊</t>
  </si>
  <si>
    <t>马昕</t>
  </si>
  <si>
    <t>唐文琼</t>
  </si>
  <si>
    <t>廖桂英</t>
  </si>
  <si>
    <t>张光琼</t>
  </si>
  <si>
    <t>李金华</t>
  </si>
  <si>
    <t>余志彬</t>
  </si>
  <si>
    <t>李静</t>
  </si>
  <si>
    <t>阮丽</t>
  </si>
  <si>
    <t>主收银</t>
  </si>
  <si>
    <t>何晓蝶</t>
  </si>
  <si>
    <t>毛茜</t>
  </si>
  <si>
    <t>曾梦薇</t>
  </si>
  <si>
    <t>李佳玲</t>
  </si>
  <si>
    <t>程帆</t>
  </si>
  <si>
    <t>黄萍</t>
  </si>
  <si>
    <t>阳玲</t>
  </si>
  <si>
    <t>张玲</t>
  </si>
  <si>
    <t>代珍慧</t>
  </si>
  <si>
    <t>申彩文</t>
  </si>
  <si>
    <t>谭庆娟</t>
  </si>
  <si>
    <t>冯梅</t>
  </si>
  <si>
    <t>张娟娟</t>
  </si>
  <si>
    <t>中药组</t>
  </si>
  <si>
    <t>吴凤兰</t>
  </si>
  <si>
    <t>秦睿熹</t>
  </si>
  <si>
    <t>何玉莲</t>
  </si>
  <si>
    <t>谢琴</t>
  </si>
  <si>
    <t>肖尚珍</t>
  </si>
  <si>
    <t>阴静</t>
  </si>
  <si>
    <t>翁全丽</t>
  </si>
  <si>
    <t>彭关敏</t>
  </si>
  <si>
    <t>合计</t>
  </si>
  <si>
    <t>藿香</t>
  </si>
  <si>
    <t>10只装销售奖励（10%）</t>
  </si>
  <si>
    <t>5只装销售奖励（5%）</t>
  </si>
  <si>
    <t>处罚（10%）</t>
  </si>
  <si>
    <t>7.26-8.25任务</t>
  </si>
  <si>
    <t>梅茜</t>
    <phoneticPr fontId="5" type="noConversion"/>
  </si>
  <si>
    <r>
      <t>康腹止泻片（3</t>
    </r>
    <r>
      <rPr>
        <sz val="12"/>
        <rFont val="宋体"/>
        <family val="3"/>
        <charset val="134"/>
      </rPr>
      <t>.4.5）</t>
    </r>
    <phoneticPr fontId="5" type="noConversion"/>
  </si>
  <si>
    <t>沉香化气（3.4.5）</t>
    <phoneticPr fontId="5" type="noConversion"/>
  </si>
  <si>
    <t>剔除第二盒半价套系（按1.5盒计算）</t>
    <phoneticPr fontId="5" type="noConversion"/>
  </si>
  <si>
    <t>梅茜</t>
    <phoneticPr fontId="7" type="noConversion"/>
  </si>
  <si>
    <t>系数</t>
    <phoneticPr fontId="5" type="noConversion"/>
  </si>
  <si>
    <t>补肾奖励</t>
    <phoneticPr fontId="5" type="noConversion"/>
  </si>
  <si>
    <t>蚕蛾奖励</t>
    <phoneticPr fontId="5" type="noConversion"/>
  </si>
  <si>
    <t>五子奖励</t>
    <phoneticPr fontId="5" type="noConversion"/>
  </si>
  <si>
    <t>六味奖励</t>
    <phoneticPr fontId="5" type="noConversion"/>
  </si>
  <si>
    <t>合计奖励</t>
    <phoneticPr fontId="5" type="noConversion"/>
  </si>
  <si>
    <t>连花奖励</t>
    <phoneticPr fontId="5" type="noConversion"/>
  </si>
  <si>
    <t>炎可宁奖励</t>
    <phoneticPr fontId="5" type="noConversion"/>
  </si>
  <si>
    <t>奥肯能奖励</t>
    <phoneticPr fontId="5" type="noConversion"/>
  </si>
  <si>
    <t>小儿系列奖励</t>
    <phoneticPr fontId="5" type="noConversion"/>
  </si>
  <si>
    <t>散列通奖励</t>
    <phoneticPr fontId="5" type="noConversion"/>
  </si>
  <si>
    <t>奖励</t>
    <phoneticPr fontId="5" type="noConversion"/>
  </si>
  <si>
    <t>销售奖励</t>
    <phoneticPr fontId="5" type="noConversion"/>
  </si>
  <si>
    <t>沉香奖励</t>
    <phoneticPr fontId="5" type="noConversion"/>
  </si>
  <si>
    <t>康腹止泻片奖励</t>
    <phoneticPr fontId="5" type="noConversion"/>
  </si>
  <si>
    <t>肠炎宁奖励</t>
    <phoneticPr fontId="5" type="noConversion"/>
  </si>
  <si>
    <t>合计处罚</t>
    <phoneticPr fontId="5" type="noConversion"/>
  </si>
  <si>
    <t>合计</t>
    <phoneticPr fontId="5" type="noConversion"/>
  </si>
  <si>
    <r>
      <t>门店I</t>
    </r>
    <r>
      <rPr>
        <sz val="12"/>
        <rFont val="宋体"/>
        <family val="3"/>
        <charset val="134"/>
      </rPr>
      <t>D</t>
    </r>
    <phoneticPr fontId="7" type="noConversion"/>
  </si>
  <si>
    <t>门店</t>
    <phoneticPr fontId="7" type="noConversion"/>
  </si>
  <si>
    <r>
      <t>员工I</t>
    </r>
    <r>
      <rPr>
        <sz val="12"/>
        <rFont val="宋体"/>
        <family val="3"/>
        <charset val="134"/>
      </rPr>
      <t>D</t>
    </r>
    <phoneticPr fontId="7" type="noConversion"/>
  </si>
  <si>
    <t>员工姓名</t>
    <phoneticPr fontId="7" type="noConversion"/>
  </si>
  <si>
    <t>金牌合计奖励</t>
    <phoneticPr fontId="7" type="noConversion"/>
  </si>
  <si>
    <t>金牌合计处罚</t>
    <phoneticPr fontId="7" type="noConversion"/>
  </si>
  <si>
    <t>藿香奖励</t>
    <phoneticPr fontId="7" type="noConversion"/>
  </si>
  <si>
    <t>藿香处罚</t>
    <phoneticPr fontId="7" type="noConversion"/>
  </si>
  <si>
    <t>合计奖励</t>
    <phoneticPr fontId="7" type="noConversion"/>
  </si>
  <si>
    <t>合计处罚</t>
    <phoneticPr fontId="7" type="noConversion"/>
  </si>
  <si>
    <t>旗舰店</t>
    <phoneticPr fontId="7" type="noConversion"/>
  </si>
  <si>
    <t>梅茜</t>
    <phoneticPr fontId="7" type="noConversion"/>
  </si>
  <si>
    <t>合计</t>
    <phoneticPr fontId="7" type="noConversion"/>
  </si>
  <si>
    <r>
      <t>1</t>
    </r>
    <r>
      <rPr>
        <sz val="12"/>
        <rFont val="宋体"/>
        <family val="3"/>
        <charset val="134"/>
      </rPr>
      <t>0支奖励</t>
    </r>
    <phoneticPr fontId="7" type="noConversion"/>
  </si>
  <si>
    <t>5支奖励</t>
    <phoneticPr fontId="7" type="noConversion"/>
  </si>
  <si>
    <t>备注</t>
    <phoneticPr fontId="7" type="noConversion"/>
  </si>
  <si>
    <t>旗舰店</t>
    <phoneticPr fontId="7" type="noConversion"/>
  </si>
  <si>
    <t>因8月初调入收银台故申请处罚减半</t>
    <phoneticPr fontId="7" type="noConversion"/>
  </si>
  <si>
    <t>不予考核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</si>
</sst>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0">
    <font>
      <sz val="12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2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2" borderId="0" xfId="0" applyNumberFormat="1" applyFill="1">
      <alignment vertical="center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right" vertical="center"/>
    </xf>
    <xf numFmtId="0" fontId="0" fillId="2" borderId="1" xfId="0" applyNumberFormat="1" applyFill="1" applyBorder="1">
      <alignment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NumberFormat="1" applyBorder="1" applyAlignment="1">
      <alignment horizontal="right" vertical="center" wrapText="1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2" borderId="0" xfId="0" applyFill="1">
      <alignment vertical="center"/>
    </xf>
    <xf numFmtId="176" fontId="1" fillId="2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wrapText="1"/>
    </xf>
    <xf numFmtId="0" fontId="0" fillId="2" borderId="1" xfId="0" applyFill="1" applyBorder="1">
      <alignment vertical="center"/>
    </xf>
    <xf numFmtId="0" fontId="0" fillId="0" borderId="1" xfId="0" applyNumberFormat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176" fontId="0" fillId="3" borderId="1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2" borderId="1" xfId="0" applyNumberFormat="1" applyFill="1" applyBorder="1" applyAlignment="1">
      <alignment vertical="center" wrapText="1"/>
    </xf>
    <xf numFmtId="0" fontId="0" fillId="2" borderId="1" xfId="0" applyNumberFormat="1" applyFill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2" borderId="4" xfId="0" applyFill="1" applyBorder="1">
      <alignment vertical="center"/>
    </xf>
    <xf numFmtId="0" fontId="0" fillId="0" borderId="2" xfId="0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0" borderId="7" xfId="0" applyBorder="1">
      <alignment vertical="center"/>
    </xf>
    <xf numFmtId="0" fontId="0" fillId="0" borderId="8" xfId="0" applyFont="1" applyFill="1" applyBorder="1" applyAlignment="1">
      <alignment horizontal="right" vertical="center"/>
    </xf>
    <xf numFmtId="0" fontId="0" fillId="2" borderId="2" xfId="0" applyFill="1" applyBorder="1">
      <alignment vertical="center"/>
    </xf>
    <xf numFmtId="0" fontId="0" fillId="2" borderId="7" xfId="0" applyFill="1" applyBorder="1">
      <alignment vertical="center"/>
    </xf>
    <xf numFmtId="0" fontId="6" fillId="2" borderId="1" xfId="0" applyNumberFormat="1" applyFont="1" applyFill="1" applyBorder="1" applyAlignment="1">
      <alignment vertical="center" wrapText="1"/>
    </xf>
    <xf numFmtId="0" fontId="0" fillId="2" borderId="3" xfId="0" applyNumberForma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6" fillId="0" borderId="0" xfId="0" applyFont="1">
      <alignment vertical="center"/>
    </xf>
    <xf numFmtId="176" fontId="8" fillId="0" borderId="1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>
      <alignment vertical="center"/>
    </xf>
    <xf numFmtId="176" fontId="0" fillId="0" borderId="0" xfId="0" applyNumberFormat="1">
      <alignment vertical="center"/>
    </xf>
    <xf numFmtId="176" fontId="6" fillId="0" borderId="0" xfId="0" applyNumberFormat="1" applyFont="1">
      <alignment vertical="center"/>
    </xf>
    <xf numFmtId="176" fontId="0" fillId="2" borderId="2" xfId="0" applyNumberFormat="1" applyFill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2" borderId="10" xfId="0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6" fontId="6" fillId="2" borderId="4" xfId="0" applyNumberFormat="1" applyFont="1" applyFill="1" applyBorder="1">
      <alignment vertical="center"/>
    </xf>
    <xf numFmtId="176" fontId="0" fillId="2" borderId="4" xfId="0" applyNumberFormat="1" applyFill="1" applyBorder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2" borderId="10" xfId="0" applyNumberFormat="1" applyFill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Font="1">
      <alignment vertical="center"/>
    </xf>
  </cellXfs>
  <cellStyles count="2">
    <cellStyle name="百分比" xfId="1" builtinId="5"/>
    <cellStyle name="常规" xfId="0" builtinId="0"/>
  </cellStyles>
  <dxfs count="0"/>
  <tableStyles count="0" defaultTableStyle="TableStyleMedium2"/>
  <colors>
    <mruColors>
      <color rgb="FFFF0000"/>
      <color rgb="FFFFFFFF"/>
      <color rgb="FFFFFF00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J62"/>
  <sheetViews>
    <sheetView workbookViewId="0">
      <pane xSplit="7" topLeftCell="BX1" activePane="topRight" state="frozen"/>
      <selection pane="topRight" activeCell="A6" sqref="A6:XFD6"/>
    </sheetView>
  </sheetViews>
  <sheetFormatPr defaultColWidth="9" defaultRowHeight="14.25"/>
  <cols>
    <col min="1" max="1" width="5.25" customWidth="1"/>
    <col min="2" max="2" width="6.125" customWidth="1"/>
    <col min="3" max="4" width="8.375" customWidth="1"/>
    <col min="5" max="5" width="10.875" customWidth="1"/>
    <col min="7" max="7" width="7.75" customWidth="1"/>
    <col min="8" max="12" width="9" style="11"/>
    <col min="13" max="13" width="6.25" customWidth="1"/>
    <col min="14" max="14" width="5.125" customWidth="1"/>
    <col min="15" max="15" width="6.25" customWidth="1"/>
    <col min="16" max="16" width="8.875" style="11" customWidth="1"/>
    <col min="17" max="17" width="7.875" style="11" customWidth="1"/>
    <col min="18" max="19" width="6.875" style="11" customWidth="1"/>
    <col min="20" max="20" width="6" style="11" customWidth="1"/>
    <col min="21" max="21" width="5.625" style="11" customWidth="1"/>
    <col min="22" max="22" width="6.625" style="11" customWidth="1"/>
    <col min="23" max="23" width="6" style="11" customWidth="1"/>
    <col min="24" max="24" width="6.75" style="11" customWidth="1"/>
    <col min="25" max="25" width="6.125" style="11" customWidth="1"/>
    <col min="26" max="26" width="5.875" style="11" customWidth="1"/>
    <col min="27" max="28" width="6.625" style="11" customWidth="1"/>
    <col min="29" max="29" width="6.375" style="11" customWidth="1"/>
    <col min="30" max="31" width="7.25" customWidth="1"/>
    <col min="32" max="32" width="7" customWidth="1"/>
    <col min="33" max="33" width="9.375" style="11" customWidth="1"/>
    <col min="34" max="34" width="8" style="11" customWidth="1"/>
    <col min="35" max="35" width="6" style="11" customWidth="1"/>
    <col min="36" max="36" width="5.375" style="11" customWidth="1"/>
    <col min="37" max="38" width="6.375" style="11" customWidth="1"/>
    <col min="39" max="39" width="6.125" style="11" customWidth="1"/>
    <col min="40" max="40" width="5.25" style="11" customWidth="1"/>
    <col min="41" max="41" width="8.125" style="11" customWidth="1"/>
    <col min="42" max="42" width="4.25" style="11" customWidth="1"/>
    <col min="43" max="43" width="6.75" style="11" customWidth="1"/>
    <col min="44" max="44" width="5.25" style="11" customWidth="1"/>
    <col min="45" max="45" width="5.375" style="11" customWidth="1"/>
    <col min="46" max="46" width="8.75" style="11" customWidth="1"/>
    <col min="47" max="47" width="9" style="11" customWidth="1"/>
    <col min="48" max="48" width="6.375" customWidth="1"/>
    <col min="49" max="49" width="7.5" customWidth="1"/>
    <col min="50" max="50" width="6" customWidth="1"/>
    <col min="51" max="51" width="6.375" style="11" customWidth="1"/>
    <col min="52" max="53" width="11.25" style="11" customWidth="1"/>
    <col min="54" max="54" width="8.375" style="11" customWidth="1"/>
    <col min="55" max="57" width="12.625"/>
    <col min="58" max="58" width="8.875" style="11" customWidth="1"/>
    <col min="59" max="60" width="13.25" style="11" customWidth="1"/>
    <col min="61" max="61" width="8.375" style="11" customWidth="1"/>
    <col min="62" max="64" width="12.625"/>
    <col min="65" max="65" width="9" style="11" customWidth="1"/>
    <col min="66" max="67" width="10.75" style="11" customWidth="1"/>
    <col min="68" max="68" width="6.125" style="11" customWidth="1"/>
    <col min="69" max="71" width="12.625"/>
    <col min="72" max="72" width="12.625" style="11"/>
    <col min="73" max="73" width="9.5" style="11" customWidth="1"/>
    <col min="74" max="82" width="7.875" style="11" customWidth="1"/>
    <col min="83" max="83" width="7.25" customWidth="1"/>
    <col min="84" max="84" width="7.625" customWidth="1"/>
    <col min="85" max="85" width="7.875" customWidth="1"/>
  </cols>
  <sheetData>
    <row r="1" spans="1:8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8" t="s">
        <v>7</v>
      </c>
      <c r="I1" s="33"/>
      <c r="J1" s="33"/>
      <c r="K1" s="33"/>
      <c r="L1" s="33"/>
      <c r="M1" s="34"/>
      <c r="N1" s="34"/>
      <c r="O1" s="34"/>
      <c r="P1" s="35"/>
      <c r="Q1" s="38" t="s">
        <v>8</v>
      </c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4"/>
      <c r="AE1" s="34"/>
      <c r="AF1" s="34"/>
      <c r="AG1" s="35"/>
      <c r="AH1" s="38" t="s">
        <v>9</v>
      </c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4"/>
      <c r="AW1" s="34"/>
      <c r="AX1" s="34"/>
      <c r="AY1" s="35"/>
      <c r="AZ1" s="33" t="s">
        <v>10</v>
      </c>
      <c r="BA1" s="33"/>
      <c r="BB1" s="33"/>
      <c r="BC1" s="34"/>
      <c r="BD1" s="34"/>
      <c r="BE1" s="34"/>
      <c r="BF1" s="35"/>
      <c r="BG1" s="33" t="s">
        <v>11</v>
      </c>
      <c r="BH1" s="33"/>
      <c r="BI1" s="33"/>
      <c r="BJ1" s="34"/>
      <c r="BK1" s="34"/>
      <c r="BL1" s="34"/>
      <c r="BM1" s="35"/>
      <c r="BN1" s="33" t="s">
        <v>12</v>
      </c>
      <c r="BO1" s="33"/>
      <c r="BP1" s="33"/>
      <c r="BQ1" s="34"/>
      <c r="BR1" s="34"/>
      <c r="BS1" s="34"/>
      <c r="BT1" s="35"/>
      <c r="BU1" s="36" t="s">
        <v>13</v>
      </c>
      <c r="BV1" s="36"/>
      <c r="BW1" s="36"/>
      <c r="BX1" s="36"/>
      <c r="BY1" s="36"/>
      <c r="BZ1" s="36"/>
      <c r="CA1" s="36"/>
      <c r="CB1" s="36"/>
      <c r="CC1" s="36"/>
      <c r="CD1" s="36"/>
      <c r="CE1" s="37"/>
      <c r="CF1" s="37"/>
      <c r="CG1" s="37"/>
      <c r="CH1" s="37"/>
    </row>
    <row r="2" spans="1:88" ht="126" customHeight="1">
      <c r="A2" s="2">
        <v>1</v>
      </c>
      <c r="B2" s="2">
        <v>307</v>
      </c>
      <c r="C2" s="2" t="s">
        <v>14</v>
      </c>
      <c r="D2" s="2" t="s">
        <v>3</v>
      </c>
      <c r="E2" s="2" t="s">
        <v>4</v>
      </c>
      <c r="F2" s="40" t="s">
        <v>98</v>
      </c>
      <c r="G2" s="3"/>
      <c r="H2" s="12" t="s">
        <v>15</v>
      </c>
      <c r="I2" s="12" t="s">
        <v>16</v>
      </c>
      <c r="J2" s="12" t="s">
        <v>96</v>
      </c>
      <c r="K2" s="12" t="s">
        <v>17</v>
      </c>
      <c r="L2" s="12" t="s">
        <v>18</v>
      </c>
      <c r="M2" s="17" t="s">
        <v>19</v>
      </c>
      <c r="N2" s="17" t="s">
        <v>20</v>
      </c>
      <c r="O2" s="17" t="s">
        <v>21</v>
      </c>
      <c r="P2" s="18" t="s">
        <v>22</v>
      </c>
      <c r="Q2" s="21" t="s">
        <v>23</v>
      </c>
      <c r="R2" s="21" t="s">
        <v>24</v>
      </c>
      <c r="S2" s="32" t="s">
        <v>99</v>
      </c>
      <c r="T2" s="21" t="s">
        <v>25</v>
      </c>
      <c r="U2" s="21" t="s">
        <v>26</v>
      </c>
      <c r="V2" s="32" t="s">
        <v>100</v>
      </c>
      <c r="W2" s="21" t="s">
        <v>27</v>
      </c>
      <c r="X2" s="32" t="s">
        <v>101</v>
      </c>
      <c r="Y2" s="21" t="s">
        <v>28</v>
      </c>
      <c r="Z2" s="32" t="s">
        <v>102</v>
      </c>
      <c r="AA2" s="21" t="s">
        <v>29</v>
      </c>
      <c r="AB2" s="32" t="s">
        <v>103</v>
      </c>
      <c r="AC2" s="21" t="s">
        <v>30</v>
      </c>
      <c r="AD2" s="9" t="s">
        <v>31</v>
      </c>
      <c r="AE2" s="9" t="s">
        <v>32</v>
      </c>
      <c r="AF2" s="9" t="s">
        <v>33</v>
      </c>
      <c r="AG2" s="16" t="s">
        <v>22</v>
      </c>
      <c r="AH2" s="22" t="s">
        <v>34</v>
      </c>
      <c r="AI2" s="22" t="s">
        <v>24</v>
      </c>
      <c r="AJ2" s="32" t="s">
        <v>104</v>
      </c>
      <c r="AK2" s="22" t="s">
        <v>35</v>
      </c>
      <c r="AL2" s="32" t="s">
        <v>105</v>
      </c>
      <c r="AM2" s="22" t="s">
        <v>36</v>
      </c>
      <c r="AN2" s="32" t="s">
        <v>106</v>
      </c>
      <c r="AO2" s="22" t="s">
        <v>37</v>
      </c>
      <c r="AP2" s="32" t="s">
        <v>107</v>
      </c>
      <c r="AQ2" s="22" t="s">
        <v>38</v>
      </c>
      <c r="AR2" s="32" t="s">
        <v>108</v>
      </c>
      <c r="AS2" s="22" t="s">
        <v>39</v>
      </c>
      <c r="AT2" s="32" t="s">
        <v>103</v>
      </c>
      <c r="AU2" s="22" t="s">
        <v>40</v>
      </c>
      <c r="AV2" s="9" t="s">
        <v>31</v>
      </c>
      <c r="AW2" s="9" t="s">
        <v>32</v>
      </c>
      <c r="AX2" s="9" t="s">
        <v>33</v>
      </c>
      <c r="AY2" s="16" t="s">
        <v>22</v>
      </c>
      <c r="AZ2" s="22" t="s">
        <v>41</v>
      </c>
      <c r="BA2" s="32" t="s">
        <v>109</v>
      </c>
      <c r="BB2" s="22" t="s">
        <v>42</v>
      </c>
      <c r="BC2" s="9" t="s">
        <v>31</v>
      </c>
      <c r="BD2" s="9" t="s">
        <v>32</v>
      </c>
      <c r="BE2" s="9" t="s">
        <v>33</v>
      </c>
      <c r="BF2" s="16" t="s">
        <v>22</v>
      </c>
      <c r="BG2" s="22" t="s">
        <v>43</v>
      </c>
      <c r="BH2" s="32" t="s">
        <v>110</v>
      </c>
      <c r="BI2" s="22" t="s">
        <v>44</v>
      </c>
      <c r="BJ2" s="9" t="s">
        <v>45</v>
      </c>
      <c r="BK2" s="9" t="s">
        <v>46</v>
      </c>
      <c r="BL2" s="9" t="s">
        <v>47</v>
      </c>
      <c r="BM2" s="16" t="s">
        <v>22</v>
      </c>
      <c r="BN2" s="22" t="s">
        <v>48</v>
      </c>
      <c r="BO2" s="32" t="s">
        <v>109</v>
      </c>
      <c r="BP2" s="22" t="s">
        <v>44</v>
      </c>
      <c r="BQ2" s="23" t="s">
        <v>49</v>
      </c>
      <c r="BR2" s="23" t="s">
        <v>50</v>
      </c>
      <c r="BS2" s="23" t="s">
        <v>51</v>
      </c>
      <c r="BT2" s="16" t="s">
        <v>22</v>
      </c>
      <c r="BU2" s="32" t="s">
        <v>95</v>
      </c>
      <c r="BV2" s="22" t="s">
        <v>52</v>
      </c>
      <c r="BW2" s="32" t="s">
        <v>111</v>
      </c>
      <c r="BX2" s="32" t="s">
        <v>94</v>
      </c>
      <c r="BY2" s="32" t="s">
        <v>112</v>
      </c>
      <c r="BZ2" s="22" t="s">
        <v>53</v>
      </c>
      <c r="CA2" s="32" t="s">
        <v>113</v>
      </c>
      <c r="CB2" s="22" t="s">
        <v>39</v>
      </c>
      <c r="CC2" s="32" t="s">
        <v>103</v>
      </c>
      <c r="CD2" s="22" t="s">
        <v>54</v>
      </c>
      <c r="CE2" s="9" t="s">
        <v>31</v>
      </c>
      <c r="CF2" s="9" t="s">
        <v>32</v>
      </c>
      <c r="CG2" s="9" t="s">
        <v>33</v>
      </c>
      <c r="CH2" s="9" t="s">
        <v>22</v>
      </c>
      <c r="CI2" s="41" t="s">
        <v>103</v>
      </c>
      <c r="CJ2" s="41" t="s">
        <v>114</v>
      </c>
    </row>
    <row r="3" spans="1:88">
      <c r="A3" s="2">
        <v>2</v>
      </c>
      <c r="B3" s="4">
        <v>307</v>
      </c>
      <c r="C3" s="4" t="s">
        <v>14</v>
      </c>
      <c r="D3" s="5">
        <v>7107</v>
      </c>
      <c r="E3" s="5" t="s">
        <v>55</v>
      </c>
      <c r="F3" s="5">
        <v>1.3</v>
      </c>
      <c r="G3" s="5"/>
      <c r="H3" s="13">
        <v>9</v>
      </c>
      <c r="I3" s="13"/>
      <c r="J3" s="13"/>
      <c r="K3" s="13">
        <f>H3*105</f>
        <v>945</v>
      </c>
      <c r="L3" s="13"/>
      <c r="M3" s="19">
        <f>56*F3/14.215</f>
        <v>5.1213506858951812</v>
      </c>
      <c r="N3" s="19">
        <f>62*F3/14.215</f>
        <v>5.6700668308125231</v>
      </c>
      <c r="O3" s="19">
        <v>8</v>
      </c>
      <c r="P3" s="19">
        <v>3</v>
      </c>
      <c r="Q3" s="20">
        <v>57</v>
      </c>
      <c r="R3" s="20">
        <v>14.5</v>
      </c>
      <c r="S3" s="20">
        <f>(Q3-R3)*12</f>
        <v>510</v>
      </c>
      <c r="T3" s="20">
        <v>11</v>
      </c>
      <c r="U3" s="20">
        <v>8</v>
      </c>
      <c r="V3" s="20">
        <f>3*7</f>
        <v>21</v>
      </c>
      <c r="W3" s="20"/>
      <c r="X3" s="20"/>
      <c r="Y3" s="20">
        <v>15</v>
      </c>
      <c r="Z3" s="20">
        <f>Y3*5</f>
        <v>75</v>
      </c>
      <c r="AA3" s="20">
        <v>4830</v>
      </c>
      <c r="AB3" s="20">
        <f>S3+V3+X3+Z3</f>
        <v>606</v>
      </c>
      <c r="AC3" s="20"/>
      <c r="AD3" s="19">
        <f>28350*F3/14.215</f>
        <v>2592.6837847344354</v>
      </c>
      <c r="AE3" s="19">
        <f>31185*F3/14.215</f>
        <v>2851.952163207879</v>
      </c>
      <c r="AF3" s="19">
        <f>34020*F3/14.215</f>
        <v>3111.2205416813226</v>
      </c>
      <c r="AG3" s="19">
        <v>3</v>
      </c>
      <c r="AH3" s="20">
        <v>39</v>
      </c>
      <c r="AI3" s="20">
        <v>8</v>
      </c>
      <c r="AJ3" s="20">
        <f>31*3.5</f>
        <v>108.5</v>
      </c>
      <c r="AK3" s="20">
        <v>23</v>
      </c>
      <c r="AL3" s="20">
        <f>23*5</f>
        <v>115</v>
      </c>
      <c r="AM3" s="20">
        <v>13</v>
      </c>
      <c r="AN3" s="20">
        <f>13*3.5</f>
        <v>45.5</v>
      </c>
      <c r="AO3" s="20">
        <v>19</v>
      </c>
      <c r="AP3" s="20">
        <f>19*3</f>
        <v>57</v>
      </c>
      <c r="AQ3" s="20">
        <v>7</v>
      </c>
      <c r="AR3" s="20">
        <f>7*2</f>
        <v>14</v>
      </c>
      <c r="AS3" s="20">
        <v>101</v>
      </c>
      <c r="AT3" s="20">
        <f>AJ3+AL3+AN3+AP3+AR3</f>
        <v>340</v>
      </c>
      <c r="AU3" s="20"/>
      <c r="AV3" s="19">
        <f>713*F3/14.215</f>
        <v>65.205768554344004</v>
      </c>
      <c r="AW3" s="19">
        <f>784*F3/14.215</f>
        <v>71.698909602532538</v>
      </c>
      <c r="AX3" s="19">
        <f>862*F3/14.215</f>
        <v>78.832219486457973</v>
      </c>
      <c r="AY3" s="19">
        <v>3</v>
      </c>
      <c r="AZ3" s="20">
        <v>12099.59</v>
      </c>
      <c r="BA3" s="20">
        <f>AZ3*0.09</f>
        <v>1088.9630999999999</v>
      </c>
      <c r="BB3" s="20"/>
      <c r="BC3" s="19">
        <f>53778*F3/14.215</f>
        <v>4918.1428068941268</v>
      </c>
      <c r="BD3" s="19">
        <f>59155*F3/14.215</f>
        <v>5409.8839254308832</v>
      </c>
      <c r="BE3" s="19">
        <f>64534*F3/14.215</f>
        <v>5901.8079493492787</v>
      </c>
      <c r="BF3" s="19">
        <v>3</v>
      </c>
      <c r="BG3" s="20">
        <v>3342</v>
      </c>
      <c r="BH3" s="20">
        <f>BG3*0.25</f>
        <v>835.5</v>
      </c>
      <c r="BI3" s="20"/>
      <c r="BJ3" s="19">
        <f>18680*F3/14.215</f>
        <v>1708.3362645093212</v>
      </c>
      <c r="BK3" s="19">
        <f>20095*F3/14.215</f>
        <v>1837.7418220189941</v>
      </c>
      <c r="BL3" s="19">
        <f>22104*F3/14.215</f>
        <v>2021.4702778754838</v>
      </c>
      <c r="BM3" s="19">
        <v>3</v>
      </c>
      <c r="BN3" s="20">
        <v>21649.759999999998</v>
      </c>
      <c r="BO3" s="20">
        <f>BN3*0.15</f>
        <v>3247.4639999999995</v>
      </c>
      <c r="BP3" s="20"/>
      <c r="BQ3" s="19">
        <f>104371*F3/14.215</f>
        <v>9545.0087935279644</v>
      </c>
      <c r="BR3" s="19">
        <f>112720*F3/14.215</f>
        <v>10308.547309180443</v>
      </c>
      <c r="BS3" s="19">
        <f>120027*F3/14.215</f>
        <v>10976.792120998945</v>
      </c>
      <c r="BT3" s="19">
        <v>3</v>
      </c>
      <c r="BU3" s="20">
        <v>27</v>
      </c>
      <c r="BV3" s="20">
        <v>6</v>
      </c>
      <c r="BW3" s="20">
        <f>21*3</f>
        <v>63</v>
      </c>
      <c r="BX3" s="20">
        <v>2</v>
      </c>
      <c r="BY3" s="20">
        <v>10</v>
      </c>
      <c r="BZ3" s="20">
        <v>13</v>
      </c>
      <c r="CA3" s="20">
        <f>13*4</f>
        <v>52</v>
      </c>
      <c r="CB3" s="20">
        <f>BU3+BX3+BZ3</f>
        <v>42</v>
      </c>
      <c r="CC3" s="20">
        <f>BW3+BY3+CA3</f>
        <v>125</v>
      </c>
      <c r="CD3" s="20"/>
      <c r="CE3" s="19">
        <f>218*F3/14.215</f>
        <v>19.936686598663385</v>
      </c>
      <c r="CF3" s="19">
        <f>247*F3/14.215</f>
        <v>22.588814632430534</v>
      </c>
      <c r="CG3" s="19">
        <f>283*F3/14.215</f>
        <v>25.88111150193458</v>
      </c>
      <c r="CH3" s="10">
        <v>3</v>
      </c>
      <c r="CI3" s="42">
        <f>K3+AB3+AT3+BA3+BH3+BO3+CC3</f>
        <v>7187.927099999999</v>
      </c>
      <c r="CJ3" s="43">
        <f>L3+AC3+AU3+BB3+BI3+BP3+CD3</f>
        <v>0</v>
      </c>
    </row>
    <row r="4" spans="1:88">
      <c r="A4" s="2">
        <v>3</v>
      </c>
      <c r="B4" s="4">
        <v>307</v>
      </c>
      <c r="C4" s="4" t="s">
        <v>14</v>
      </c>
      <c r="D4" s="5">
        <v>9563</v>
      </c>
      <c r="E4" s="5" t="s">
        <v>56</v>
      </c>
      <c r="F4" s="5">
        <v>1.3</v>
      </c>
      <c r="G4" s="5"/>
      <c r="H4" s="13">
        <v>10</v>
      </c>
      <c r="I4" s="13">
        <v>1</v>
      </c>
      <c r="J4" s="13">
        <v>0.5</v>
      </c>
      <c r="K4" s="13">
        <f>8.5*105</f>
        <v>892.5</v>
      </c>
      <c r="L4" s="13"/>
      <c r="M4" s="19">
        <f t="shared" ref="M4:M32" si="0">56*F4/14.215</f>
        <v>5.1213506858951812</v>
      </c>
      <c r="N4" s="19">
        <f t="shared" ref="N4:N32" si="1">62*F4/14.215</f>
        <v>5.6700668308125231</v>
      </c>
      <c r="O4" s="19">
        <v>8</v>
      </c>
      <c r="P4" s="19">
        <v>3</v>
      </c>
      <c r="Q4" s="20">
        <v>46</v>
      </c>
      <c r="R4" s="20">
        <v>11.5</v>
      </c>
      <c r="S4" s="20">
        <f>(Q4-R4)*12</f>
        <v>414</v>
      </c>
      <c r="T4" s="20"/>
      <c r="U4" s="20"/>
      <c r="V4" s="20"/>
      <c r="W4" s="20"/>
      <c r="X4" s="20"/>
      <c r="Y4" s="20">
        <v>3</v>
      </c>
      <c r="Z4" s="20">
        <f>Y4*5</f>
        <v>15</v>
      </c>
      <c r="AA4" s="20">
        <v>3483.72</v>
      </c>
      <c r="AB4" s="20">
        <f t="shared" ref="AB4:AB37" si="2">S4+V4+X4+Z4</f>
        <v>429</v>
      </c>
      <c r="AC4" s="20"/>
      <c r="AD4" s="19">
        <f t="shared" ref="AD4:AD33" si="3">28350*F4/14.215</f>
        <v>2592.6837847344354</v>
      </c>
      <c r="AE4" s="19">
        <f t="shared" ref="AE4:AE33" si="4">31185*F4/14.215</f>
        <v>2851.952163207879</v>
      </c>
      <c r="AF4" s="19">
        <f t="shared" ref="AF4:AF33" si="5">34020*F4/14.215</f>
        <v>3111.2205416813226</v>
      </c>
      <c r="AG4" s="19">
        <v>3</v>
      </c>
      <c r="AH4" s="20">
        <v>62</v>
      </c>
      <c r="AI4" s="20">
        <v>10</v>
      </c>
      <c r="AJ4" s="20">
        <f>52*1.5</f>
        <v>78</v>
      </c>
      <c r="AK4" s="20">
        <v>25</v>
      </c>
      <c r="AL4" s="20">
        <f>25*2.5</f>
        <v>62.5</v>
      </c>
      <c r="AM4" s="20">
        <v>7</v>
      </c>
      <c r="AN4" s="20">
        <f>7*1.5</f>
        <v>10.5</v>
      </c>
      <c r="AO4" s="20">
        <v>11</v>
      </c>
      <c r="AP4" s="20">
        <f>11*1.5</f>
        <v>16.5</v>
      </c>
      <c r="AQ4" s="20">
        <v>4</v>
      </c>
      <c r="AR4" s="20">
        <f>4*1</f>
        <v>4</v>
      </c>
      <c r="AS4" s="20">
        <v>109</v>
      </c>
      <c r="AT4" s="20">
        <f t="shared" ref="AT4:AT34" si="6">AJ4+AL4+AN4+AP4+AR4</f>
        <v>171.5</v>
      </c>
      <c r="AU4" s="20"/>
      <c r="AV4" s="19">
        <f t="shared" ref="AV4:AV33" si="7">713*F4/14.215</f>
        <v>65.205768554344004</v>
      </c>
      <c r="AW4" s="19">
        <f t="shared" ref="AW4:AW23" si="8">784*F4/14.215</f>
        <v>71.698909602532538</v>
      </c>
      <c r="AX4" s="19">
        <f t="shared" ref="AX4:AX23" si="9">862*F4/14.215</f>
        <v>78.832219486457973</v>
      </c>
      <c r="AY4" s="19">
        <v>1</v>
      </c>
      <c r="AZ4" s="20">
        <v>5061.54</v>
      </c>
      <c r="BA4" s="20">
        <f>AZ4*0.04</f>
        <v>202.4616</v>
      </c>
      <c r="BB4" s="20"/>
      <c r="BC4" s="19">
        <f t="shared" ref="BC4:BC33" si="10">53778*F4/14.215</f>
        <v>4918.1428068941268</v>
      </c>
      <c r="BD4" s="19">
        <f t="shared" ref="BD4:BD33" si="11">59155*F4/14.215</f>
        <v>5409.8839254308832</v>
      </c>
      <c r="BE4" s="19">
        <f t="shared" ref="BE4:BE33" si="12">64534*F4/14.215</f>
        <v>5901.8079493492787</v>
      </c>
      <c r="BF4" s="19">
        <v>1</v>
      </c>
      <c r="BG4" s="20">
        <v>5102.97</v>
      </c>
      <c r="BH4" s="20">
        <f>BG4*0.25</f>
        <v>1275.7425000000001</v>
      </c>
      <c r="BI4" s="20"/>
      <c r="BJ4" s="19">
        <f t="shared" ref="BJ4:BJ33" si="13">18680*F4/14.215</f>
        <v>1708.3362645093212</v>
      </c>
      <c r="BK4" s="19">
        <f t="shared" ref="BK4:BK33" si="14">20095*F4/14.215</f>
        <v>1837.7418220189941</v>
      </c>
      <c r="BL4" s="19">
        <f t="shared" ref="BL4:BL33" si="15">22104*F4/14.215</f>
        <v>2021.4702778754838</v>
      </c>
      <c r="BM4" s="19">
        <v>3</v>
      </c>
      <c r="BN4" s="20">
        <v>11666.21</v>
      </c>
      <c r="BO4" s="20">
        <f>BN4*0.15</f>
        <v>1749.9314999999999</v>
      </c>
      <c r="BP4" s="20"/>
      <c r="BQ4" s="19">
        <f t="shared" ref="BQ4:BQ33" si="16">104371*F4/14.215</f>
        <v>9545.0087935279644</v>
      </c>
      <c r="BR4" s="19">
        <f t="shared" ref="BR4:BR33" si="17">112720*F4/14.215</f>
        <v>10308.547309180443</v>
      </c>
      <c r="BS4" s="19">
        <f t="shared" ref="BS4:BS33" si="18">120027*F4/14.215</f>
        <v>10976.792120998945</v>
      </c>
      <c r="BT4" s="19">
        <v>3</v>
      </c>
      <c r="BU4" s="20">
        <v>13</v>
      </c>
      <c r="BV4" s="20">
        <v>1</v>
      </c>
      <c r="BW4" s="20">
        <f>12*5</f>
        <v>60</v>
      </c>
      <c r="BX4" s="20">
        <v>3</v>
      </c>
      <c r="BY4" s="20">
        <v>15</v>
      </c>
      <c r="BZ4" s="20">
        <v>19</v>
      </c>
      <c r="CA4" s="20">
        <f>BZ4*4</f>
        <v>76</v>
      </c>
      <c r="CB4" s="20">
        <f t="shared" ref="CB4:CB34" si="19">BU4+BX4+BZ4</f>
        <v>35</v>
      </c>
      <c r="CC4" s="20">
        <f t="shared" ref="CC4:CC34" si="20">BW4+BY4+CA4</f>
        <v>151</v>
      </c>
      <c r="CD4" s="20"/>
      <c r="CE4" s="19">
        <f t="shared" ref="CE4:CE33" si="21">218*F4/14.215</f>
        <v>19.936686598663385</v>
      </c>
      <c r="CF4" s="19">
        <f t="shared" ref="CF4:CF32" si="22">247*F4/14.215</f>
        <v>22.588814632430534</v>
      </c>
      <c r="CG4" s="19">
        <f t="shared" ref="CG4:CG23" si="23">283*F4/14.215</f>
        <v>25.88111150193458</v>
      </c>
      <c r="CH4" s="10">
        <v>3</v>
      </c>
      <c r="CI4" s="42">
        <f t="shared" ref="CI4:CI34" si="24">K4+AB4+AT4+BA4+BH4+BO4+CC4</f>
        <v>4872.1355999999996</v>
      </c>
      <c r="CJ4" s="43">
        <f t="shared" ref="CJ4:CJ34" si="25">L4+AC4+AU4+BB4+BI4+BP4+CD4</f>
        <v>0</v>
      </c>
    </row>
    <row r="5" spans="1:88">
      <c r="A5" s="2">
        <v>4</v>
      </c>
      <c r="B5" s="4">
        <v>307</v>
      </c>
      <c r="C5" s="4" t="s">
        <v>14</v>
      </c>
      <c r="D5" s="5">
        <v>9669</v>
      </c>
      <c r="E5" s="5" t="s">
        <v>57</v>
      </c>
      <c r="F5" s="5">
        <v>1.3</v>
      </c>
      <c r="G5" s="5"/>
      <c r="H5" s="13">
        <v>8</v>
      </c>
      <c r="I5" s="13">
        <v>2</v>
      </c>
      <c r="J5" s="13"/>
      <c r="K5" s="13">
        <f>6*105</f>
        <v>630</v>
      </c>
      <c r="L5" s="13"/>
      <c r="M5" s="19">
        <f t="shared" si="0"/>
        <v>5.1213506858951812</v>
      </c>
      <c r="N5" s="19">
        <f t="shared" si="1"/>
        <v>5.6700668308125231</v>
      </c>
      <c r="O5" s="19">
        <v>8</v>
      </c>
      <c r="P5" s="19">
        <v>3</v>
      </c>
      <c r="Q5" s="20">
        <v>8</v>
      </c>
      <c r="R5" s="20">
        <v>2</v>
      </c>
      <c r="S5" s="20"/>
      <c r="T5" s="20">
        <v>6</v>
      </c>
      <c r="U5" s="20">
        <v>3</v>
      </c>
      <c r="V5" s="20"/>
      <c r="W5" s="20"/>
      <c r="X5" s="20"/>
      <c r="Y5" s="20">
        <v>14</v>
      </c>
      <c r="Z5" s="20"/>
      <c r="AA5" s="20">
        <v>1203</v>
      </c>
      <c r="AB5" s="20">
        <f t="shared" si="2"/>
        <v>0</v>
      </c>
      <c r="AC5" s="20">
        <f>(2593-AA5)*0.05</f>
        <v>69.5</v>
      </c>
      <c r="AD5" s="19">
        <f t="shared" si="3"/>
        <v>2592.6837847344354</v>
      </c>
      <c r="AE5" s="19">
        <f t="shared" si="4"/>
        <v>2851.952163207879</v>
      </c>
      <c r="AF5" s="19">
        <f t="shared" si="5"/>
        <v>3111.2205416813226</v>
      </c>
      <c r="AG5" s="19">
        <v>1</v>
      </c>
      <c r="AH5" s="20">
        <v>9</v>
      </c>
      <c r="AI5" s="20">
        <v>2</v>
      </c>
      <c r="AJ5" s="20">
        <f>7*1.5</f>
        <v>10.5</v>
      </c>
      <c r="AK5" s="20">
        <v>29</v>
      </c>
      <c r="AL5" s="20">
        <f>29*2.5</f>
        <v>72.5</v>
      </c>
      <c r="AM5" s="20">
        <v>7</v>
      </c>
      <c r="AN5" s="20">
        <f>7*1.5</f>
        <v>10.5</v>
      </c>
      <c r="AO5" s="20">
        <v>15</v>
      </c>
      <c r="AP5" s="20">
        <f>15*1.5</f>
        <v>22.5</v>
      </c>
      <c r="AQ5" s="20">
        <v>6</v>
      </c>
      <c r="AR5" s="20">
        <v>6</v>
      </c>
      <c r="AS5" s="20">
        <v>66</v>
      </c>
      <c r="AT5" s="20">
        <f t="shared" si="6"/>
        <v>122</v>
      </c>
      <c r="AU5" s="20"/>
      <c r="AV5" s="19">
        <f t="shared" si="7"/>
        <v>65.205768554344004</v>
      </c>
      <c r="AW5" s="19">
        <f t="shared" si="8"/>
        <v>71.698909602532538</v>
      </c>
      <c r="AX5" s="19">
        <f t="shared" si="9"/>
        <v>78.832219486457973</v>
      </c>
      <c r="AY5" s="19">
        <v>1</v>
      </c>
      <c r="AZ5" s="20">
        <v>814.39</v>
      </c>
      <c r="BA5" s="20"/>
      <c r="BB5" s="20">
        <f>(4918-814)*0.04</f>
        <v>164.16</v>
      </c>
      <c r="BC5" s="19">
        <f t="shared" si="10"/>
        <v>4918.1428068941268</v>
      </c>
      <c r="BD5" s="19">
        <f t="shared" si="11"/>
        <v>5409.8839254308832</v>
      </c>
      <c r="BE5" s="19">
        <f t="shared" si="12"/>
        <v>5901.8079493492787</v>
      </c>
      <c r="BF5" s="19">
        <v>1</v>
      </c>
      <c r="BG5" s="20">
        <v>2061.39</v>
      </c>
      <c r="BH5" s="20">
        <f>BG5*0.25</f>
        <v>515.34749999999997</v>
      </c>
      <c r="BI5" s="20"/>
      <c r="BJ5" s="19">
        <f t="shared" si="13"/>
        <v>1708.3362645093212</v>
      </c>
      <c r="BK5" s="19">
        <f t="shared" si="14"/>
        <v>1837.7418220189941</v>
      </c>
      <c r="BL5" s="19">
        <f t="shared" si="15"/>
        <v>2021.4702778754838</v>
      </c>
      <c r="BM5" s="19">
        <v>3</v>
      </c>
      <c r="BN5" s="20">
        <v>7879.36</v>
      </c>
      <c r="BO5" s="20">
        <f>BN5*0.1</f>
        <v>787.93600000000004</v>
      </c>
      <c r="BP5" s="20">
        <f>(9545-BN5)*0.05</f>
        <v>83.282000000000025</v>
      </c>
      <c r="BQ5" s="19">
        <f t="shared" si="16"/>
        <v>9545.0087935279644</v>
      </c>
      <c r="BR5" s="19">
        <f t="shared" si="17"/>
        <v>10308.547309180443</v>
      </c>
      <c r="BS5" s="19">
        <f t="shared" si="18"/>
        <v>10976.792120998945</v>
      </c>
      <c r="BT5" s="19">
        <v>3</v>
      </c>
      <c r="BU5" s="20">
        <v>18</v>
      </c>
      <c r="BV5" s="20">
        <v>3</v>
      </c>
      <c r="BW5" s="20">
        <f>15*5</f>
        <v>75</v>
      </c>
      <c r="BX5" s="20"/>
      <c r="BY5" s="20"/>
      <c r="BZ5" s="20">
        <v>8</v>
      </c>
      <c r="CA5" s="20">
        <v>32</v>
      </c>
      <c r="CB5" s="20">
        <f t="shared" si="19"/>
        <v>26</v>
      </c>
      <c r="CC5" s="20">
        <f t="shared" si="20"/>
        <v>107</v>
      </c>
      <c r="CD5" s="20"/>
      <c r="CE5" s="19">
        <f t="shared" si="21"/>
        <v>19.936686598663385</v>
      </c>
      <c r="CF5" s="19">
        <f t="shared" si="22"/>
        <v>22.588814632430534</v>
      </c>
      <c r="CG5" s="19">
        <f t="shared" si="23"/>
        <v>25.88111150193458</v>
      </c>
      <c r="CH5" s="10">
        <v>3</v>
      </c>
      <c r="CI5" s="42">
        <f t="shared" si="24"/>
        <v>2162.2835</v>
      </c>
      <c r="CJ5" s="43">
        <f t="shared" si="25"/>
        <v>316.94200000000001</v>
      </c>
    </row>
    <row r="6" spans="1:88">
      <c r="A6" s="2">
        <v>5</v>
      </c>
      <c r="B6" s="4">
        <v>307</v>
      </c>
      <c r="C6" s="4" t="s">
        <v>14</v>
      </c>
      <c r="D6" s="5">
        <v>991137</v>
      </c>
      <c r="E6" s="5" t="s">
        <v>58</v>
      </c>
      <c r="F6" s="5">
        <v>1.1000000000000001</v>
      </c>
      <c r="G6" s="5"/>
      <c r="H6" s="13">
        <v>9</v>
      </c>
      <c r="I6" s="13">
        <v>2</v>
      </c>
      <c r="J6" s="13"/>
      <c r="K6" s="13">
        <f>7*105</f>
        <v>735</v>
      </c>
      <c r="L6" s="13"/>
      <c r="M6" s="19">
        <f t="shared" si="0"/>
        <v>4.3334505803728458</v>
      </c>
      <c r="N6" s="19">
        <f t="shared" si="1"/>
        <v>4.7977488568413653</v>
      </c>
      <c r="O6" s="19">
        <v>7</v>
      </c>
      <c r="P6" s="19">
        <v>3</v>
      </c>
      <c r="Q6" s="20">
        <v>17</v>
      </c>
      <c r="R6" s="20">
        <v>4</v>
      </c>
      <c r="S6" s="20"/>
      <c r="T6" s="20">
        <v>3</v>
      </c>
      <c r="U6" s="20"/>
      <c r="V6" s="20"/>
      <c r="W6" s="20">
        <v>1</v>
      </c>
      <c r="X6" s="20"/>
      <c r="Y6" s="20"/>
      <c r="Z6" s="20"/>
      <c r="AA6" s="20">
        <v>1537</v>
      </c>
      <c r="AB6" s="20">
        <f t="shared" si="2"/>
        <v>0</v>
      </c>
      <c r="AC6" s="20">
        <f>(AD6-AA6)*0.05</f>
        <v>32.84046781568766</v>
      </c>
      <c r="AD6" s="19">
        <f t="shared" si="3"/>
        <v>2193.8093563137531</v>
      </c>
      <c r="AE6" s="19">
        <f t="shared" si="4"/>
        <v>2413.1902919451286</v>
      </c>
      <c r="AF6" s="19">
        <f t="shared" si="5"/>
        <v>2632.5712275765036</v>
      </c>
      <c r="AG6" s="19">
        <v>3</v>
      </c>
      <c r="AH6" s="20">
        <v>24</v>
      </c>
      <c r="AI6" s="20">
        <v>2</v>
      </c>
      <c r="AJ6" s="20">
        <f>22*1.5</f>
        <v>33</v>
      </c>
      <c r="AK6" s="20">
        <v>20</v>
      </c>
      <c r="AL6" s="20">
        <f>20*2.5</f>
        <v>50</v>
      </c>
      <c r="AM6" s="20">
        <v>10</v>
      </c>
      <c r="AN6" s="20">
        <f>10*1.5</f>
        <v>15</v>
      </c>
      <c r="AO6" s="20">
        <v>7</v>
      </c>
      <c r="AP6" s="20">
        <f>AO6*1.5</f>
        <v>10.5</v>
      </c>
      <c r="AQ6" s="20">
        <v>7</v>
      </c>
      <c r="AR6" s="20">
        <v>7</v>
      </c>
      <c r="AS6" s="20">
        <v>68</v>
      </c>
      <c r="AT6" s="20">
        <f t="shared" si="6"/>
        <v>115.5</v>
      </c>
      <c r="AU6" s="20"/>
      <c r="AV6" s="19">
        <f t="shared" si="7"/>
        <v>55.174111853675697</v>
      </c>
      <c r="AW6" s="19">
        <f t="shared" si="8"/>
        <v>60.668308125219845</v>
      </c>
      <c r="AX6" s="19">
        <f t="shared" si="9"/>
        <v>66.704185719310587</v>
      </c>
      <c r="AY6" s="19">
        <v>1</v>
      </c>
      <c r="AZ6" s="20">
        <v>5504.01</v>
      </c>
      <c r="BA6" s="20">
        <f>AZ6*0.04</f>
        <v>220.16040000000001</v>
      </c>
      <c r="BB6" s="20"/>
      <c r="BC6" s="19">
        <f t="shared" si="10"/>
        <v>4161.5054519873374</v>
      </c>
      <c r="BD6" s="19">
        <f t="shared" si="11"/>
        <v>4577.5940907492095</v>
      </c>
      <c r="BE6" s="19">
        <f t="shared" si="12"/>
        <v>4993.8374956032367</v>
      </c>
      <c r="BF6" s="19">
        <v>1</v>
      </c>
      <c r="BG6" s="20">
        <v>1781</v>
      </c>
      <c r="BH6" s="20">
        <f>BG6*0.25</f>
        <v>445.25</v>
      </c>
      <c r="BI6" s="20"/>
      <c r="BJ6" s="19">
        <f t="shared" si="13"/>
        <v>1445.5153007386564</v>
      </c>
      <c r="BK6" s="19">
        <f t="shared" si="14"/>
        <v>1555.0123109391488</v>
      </c>
      <c r="BL6" s="19">
        <f t="shared" si="15"/>
        <v>1710.4748505100247</v>
      </c>
      <c r="BM6" s="19">
        <v>3</v>
      </c>
      <c r="BN6" s="20">
        <v>10961.94</v>
      </c>
      <c r="BO6" s="20">
        <f>BN6*0.15</f>
        <v>1644.2909999999999</v>
      </c>
      <c r="BP6" s="20"/>
      <c r="BQ6" s="19">
        <f t="shared" si="16"/>
        <v>8076.5459022159694</v>
      </c>
      <c r="BR6" s="19">
        <f t="shared" si="17"/>
        <v>8722.6169539219154</v>
      </c>
      <c r="BS6" s="19">
        <f t="shared" si="18"/>
        <v>9288.0548716144931</v>
      </c>
      <c r="BT6" s="19">
        <v>3</v>
      </c>
      <c r="BU6" s="20">
        <v>9</v>
      </c>
      <c r="BV6" s="20">
        <v>1</v>
      </c>
      <c r="BW6" s="20">
        <v>40</v>
      </c>
      <c r="BX6" s="20">
        <v>1</v>
      </c>
      <c r="BY6" s="20">
        <v>5</v>
      </c>
      <c r="BZ6" s="20">
        <v>13</v>
      </c>
      <c r="CA6" s="20">
        <v>52</v>
      </c>
      <c r="CB6" s="20">
        <f t="shared" si="19"/>
        <v>23</v>
      </c>
      <c r="CC6" s="20">
        <f t="shared" si="20"/>
        <v>97</v>
      </c>
      <c r="CD6" s="20"/>
      <c r="CE6" s="19">
        <f t="shared" si="21"/>
        <v>16.869504045022865</v>
      </c>
      <c r="CF6" s="19">
        <f t="shared" si="22"/>
        <v>19.113612381287375</v>
      </c>
      <c r="CG6" s="19">
        <f t="shared" si="23"/>
        <v>21.89940204009849</v>
      </c>
      <c r="CH6" s="10">
        <v>3</v>
      </c>
      <c r="CI6" s="42">
        <f t="shared" si="24"/>
        <v>3257.2013999999999</v>
      </c>
      <c r="CJ6" s="43">
        <f t="shared" si="25"/>
        <v>32.84046781568766</v>
      </c>
    </row>
    <row r="7" spans="1:88">
      <c r="A7" s="2">
        <v>6</v>
      </c>
      <c r="B7" s="4">
        <v>307</v>
      </c>
      <c r="C7" s="4" t="s">
        <v>14</v>
      </c>
      <c r="D7" s="5">
        <v>990264</v>
      </c>
      <c r="E7" s="5" t="s">
        <v>59</v>
      </c>
      <c r="F7" s="5">
        <v>1.1000000000000001</v>
      </c>
      <c r="G7" s="5"/>
      <c r="H7" s="13">
        <v>6</v>
      </c>
      <c r="I7" s="13">
        <v>1</v>
      </c>
      <c r="J7" s="13">
        <v>0.5</v>
      </c>
      <c r="K7" s="13">
        <f>4.5*75</f>
        <v>337.5</v>
      </c>
      <c r="L7" s="13"/>
      <c r="M7" s="19">
        <f t="shared" si="0"/>
        <v>4.3334505803728458</v>
      </c>
      <c r="N7" s="19">
        <f t="shared" si="1"/>
        <v>4.7977488568413653</v>
      </c>
      <c r="O7" s="19">
        <v>7</v>
      </c>
      <c r="P7" s="19">
        <v>1</v>
      </c>
      <c r="Q7" s="20">
        <v>20</v>
      </c>
      <c r="R7" s="20">
        <v>5</v>
      </c>
      <c r="S7" s="20">
        <f>15*7</f>
        <v>105</v>
      </c>
      <c r="T7" s="20"/>
      <c r="U7" s="20"/>
      <c r="V7" s="20"/>
      <c r="W7" s="20">
        <v>29</v>
      </c>
      <c r="X7" s="20">
        <f>29*6</f>
        <v>174</v>
      </c>
      <c r="Y7" s="20"/>
      <c r="Z7" s="20"/>
      <c r="AA7" s="20">
        <v>3168</v>
      </c>
      <c r="AB7" s="20">
        <f t="shared" si="2"/>
        <v>279</v>
      </c>
      <c r="AC7" s="20"/>
      <c r="AD7" s="19">
        <f t="shared" si="3"/>
        <v>2193.8093563137531</v>
      </c>
      <c r="AE7" s="19">
        <f t="shared" si="4"/>
        <v>2413.1902919451286</v>
      </c>
      <c r="AF7" s="19">
        <f t="shared" si="5"/>
        <v>2632.5712275765036</v>
      </c>
      <c r="AG7" s="19">
        <v>1</v>
      </c>
      <c r="AH7" s="20">
        <v>6</v>
      </c>
      <c r="AI7" s="20">
        <v>1</v>
      </c>
      <c r="AJ7" s="20">
        <f>7*1.5</f>
        <v>10.5</v>
      </c>
      <c r="AK7" s="20">
        <v>62</v>
      </c>
      <c r="AL7" s="20">
        <f>62*2.5</f>
        <v>155</v>
      </c>
      <c r="AM7" s="20">
        <v>5</v>
      </c>
      <c r="AN7" s="20">
        <f>5*1.5</f>
        <v>7.5</v>
      </c>
      <c r="AO7" s="20">
        <v>8</v>
      </c>
      <c r="AP7" s="20">
        <f>8*1.5</f>
        <v>12</v>
      </c>
      <c r="AQ7" s="20">
        <v>3</v>
      </c>
      <c r="AR7" s="20">
        <v>3</v>
      </c>
      <c r="AS7" s="20">
        <v>84</v>
      </c>
      <c r="AT7" s="20">
        <f t="shared" si="6"/>
        <v>188</v>
      </c>
      <c r="AU7" s="20"/>
      <c r="AV7" s="19">
        <f t="shared" si="7"/>
        <v>55.174111853675697</v>
      </c>
      <c r="AW7" s="19">
        <f t="shared" si="8"/>
        <v>60.668308125219845</v>
      </c>
      <c r="AX7" s="19">
        <f t="shared" si="9"/>
        <v>66.704185719310587</v>
      </c>
      <c r="AY7" s="19">
        <v>1</v>
      </c>
      <c r="AZ7" s="20">
        <v>4410</v>
      </c>
      <c r="BA7" s="20">
        <f>AZ7*0.04</f>
        <v>176.4</v>
      </c>
      <c r="BB7" s="20"/>
      <c r="BC7" s="19">
        <f t="shared" si="10"/>
        <v>4161.5054519873374</v>
      </c>
      <c r="BD7" s="19">
        <f t="shared" si="11"/>
        <v>4577.5940907492095</v>
      </c>
      <c r="BE7" s="19">
        <f t="shared" si="12"/>
        <v>4993.8374956032367</v>
      </c>
      <c r="BF7" s="19">
        <v>1</v>
      </c>
      <c r="BG7" s="20">
        <v>1729.45</v>
      </c>
      <c r="BH7" s="20">
        <f>BG7*0.15</f>
        <v>259.41750000000002</v>
      </c>
      <c r="BI7" s="20"/>
      <c r="BJ7" s="19">
        <f t="shared" si="13"/>
        <v>1445.5153007386564</v>
      </c>
      <c r="BK7" s="19">
        <f t="shared" si="14"/>
        <v>1555.0123109391488</v>
      </c>
      <c r="BL7" s="19">
        <f t="shared" si="15"/>
        <v>1710.4748505100247</v>
      </c>
      <c r="BM7" s="19">
        <v>1</v>
      </c>
      <c r="BN7" s="20">
        <v>8509</v>
      </c>
      <c r="BO7" s="20">
        <f>BN7*0.1</f>
        <v>850.90000000000009</v>
      </c>
      <c r="BP7" s="20"/>
      <c r="BQ7" s="19">
        <f t="shared" si="16"/>
        <v>8076.5459022159694</v>
      </c>
      <c r="BR7" s="19">
        <f t="shared" si="17"/>
        <v>8722.6169539219154</v>
      </c>
      <c r="BS7" s="19">
        <f t="shared" si="18"/>
        <v>9288.0548716144931</v>
      </c>
      <c r="BT7" s="19">
        <v>3</v>
      </c>
      <c r="BU7" s="20">
        <v>15</v>
      </c>
      <c r="BV7" s="20">
        <v>3</v>
      </c>
      <c r="BW7" s="20">
        <f>12*3</f>
        <v>36</v>
      </c>
      <c r="BX7" s="20"/>
      <c r="BY7" s="20"/>
      <c r="BZ7" s="20">
        <v>3</v>
      </c>
      <c r="CA7" s="20">
        <v>6</v>
      </c>
      <c r="CB7" s="20">
        <f t="shared" si="19"/>
        <v>18</v>
      </c>
      <c r="CC7" s="20">
        <f t="shared" si="20"/>
        <v>42</v>
      </c>
      <c r="CD7" s="20"/>
      <c r="CE7" s="19">
        <f t="shared" si="21"/>
        <v>16.869504045022865</v>
      </c>
      <c r="CF7" s="19">
        <f t="shared" si="22"/>
        <v>19.113612381287375</v>
      </c>
      <c r="CG7" s="19">
        <f t="shared" si="23"/>
        <v>21.89940204009849</v>
      </c>
      <c r="CH7" s="10">
        <v>1</v>
      </c>
      <c r="CI7" s="42">
        <f t="shared" si="24"/>
        <v>2133.2175000000002</v>
      </c>
      <c r="CJ7" s="43">
        <f t="shared" si="25"/>
        <v>0</v>
      </c>
    </row>
    <row r="8" spans="1:88">
      <c r="A8" s="2">
        <v>7</v>
      </c>
      <c r="B8" s="4">
        <v>307</v>
      </c>
      <c r="C8" s="4" t="s">
        <v>14</v>
      </c>
      <c r="D8" s="5">
        <v>993501</v>
      </c>
      <c r="E8" s="5" t="s">
        <v>60</v>
      </c>
      <c r="F8" s="5">
        <v>1.1000000000000001</v>
      </c>
      <c r="G8" s="5"/>
      <c r="H8" s="13">
        <v>4.2</v>
      </c>
      <c r="I8" s="13">
        <v>1</v>
      </c>
      <c r="J8" s="13"/>
      <c r="K8" s="13">
        <f>3.2*60</f>
        <v>192</v>
      </c>
      <c r="L8" s="13"/>
      <c r="M8" s="19">
        <f t="shared" si="0"/>
        <v>4.3334505803728458</v>
      </c>
      <c r="N8" s="19">
        <f t="shared" si="1"/>
        <v>4.7977488568413653</v>
      </c>
      <c r="O8" s="19">
        <v>7</v>
      </c>
      <c r="P8" s="19">
        <v>3</v>
      </c>
      <c r="Q8" s="20">
        <v>20</v>
      </c>
      <c r="R8" s="20">
        <v>5</v>
      </c>
      <c r="S8" s="20"/>
      <c r="T8" s="20"/>
      <c r="U8" s="20"/>
      <c r="V8" s="20"/>
      <c r="W8" s="20"/>
      <c r="X8" s="20"/>
      <c r="Y8" s="20">
        <v>6</v>
      </c>
      <c r="Z8" s="20"/>
      <c r="AA8" s="20">
        <v>1609</v>
      </c>
      <c r="AB8" s="20">
        <f t="shared" si="2"/>
        <v>0</v>
      </c>
      <c r="AC8" s="20">
        <f>(AD8-AA8)*0.05</f>
        <v>29.240467815687659</v>
      </c>
      <c r="AD8" s="19">
        <f t="shared" si="3"/>
        <v>2193.8093563137531</v>
      </c>
      <c r="AE8" s="19">
        <f t="shared" si="4"/>
        <v>2413.1902919451286</v>
      </c>
      <c r="AF8" s="19">
        <f t="shared" si="5"/>
        <v>2632.5712275765036</v>
      </c>
      <c r="AG8" s="19">
        <v>1</v>
      </c>
      <c r="AH8" s="20">
        <v>22</v>
      </c>
      <c r="AI8" s="20">
        <v>1</v>
      </c>
      <c r="AJ8" s="20">
        <f>21*1.5</f>
        <v>31.5</v>
      </c>
      <c r="AK8" s="20">
        <v>23</v>
      </c>
      <c r="AL8" s="20">
        <f>23*2.5</f>
        <v>57.5</v>
      </c>
      <c r="AM8" s="20">
        <v>7</v>
      </c>
      <c r="AN8" s="20">
        <f>7*1.5</f>
        <v>10.5</v>
      </c>
      <c r="AO8" s="20">
        <v>17</v>
      </c>
      <c r="AP8" s="20">
        <f>17*1.5</f>
        <v>25.5</v>
      </c>
      <c r="AQ8" s="20">
        <v>5</v>
      </c>
      <c r="AR8" s="20">
        <v>5</v>
      </c>
      <c r="AS8" s="20">
        <v>74</v>
      </c>
      <c r="AT8" s="20">
        <f t="shared" si="6"/>
        <v>130</v>
      </c>
      <c r="AU8" s="20"/>
      <c r="AV8" s="19">
        <f t="shared" si="7"/>
        <v>55.174111853675697</v>
      </c>
      <c r="AW8" s="19">
        <f t="shared" si="8"/>
        <v>60.668308125219845</v>
      </c>
      <c r="AX8" s="19">
        <f t="shared" si="9"/>
        <v>66.704185719310587</v>
      </c>
      <c r="AY8" s="19">
        <v>1</v>
      </c>
      <c r="AZ8" s="20">
        <v>8309.44</v>
      </c>
      <c r="BA8" s="20">
        <f>AZ8*0.04</f>
        <v>332.37760000000003</v>
      </c>
      <c r="BB8" s="20"/>
      <c r="BC8" s="19">
        <f t="shared" si="10"/>
        <v>4161.5054519873374</v>
      </c>
      <c r="BD8" s="19">
        <f t="shared" si="11"/>
        <v>4577.5940907492095</v>
      </c>
      <c r="BE8" s="19">
        <f t="shared" si="12"/>
        <v>4993.8374956032367</v>
      </c>
      <c r="BF8" s="19">
        <v>1</v>
      </c>
      <c r="BG8" s="20">
        <v>2159.5</v>
      </c>
      <c r="BH8" s="20">
        <f>BG8*0.25</f>
        <v>539.875</v>
      </c>
      <c r="BI8" s="20"/>
      <c r="BJ8" s="19">
        <f t="shared" si="13"/>
        <v>1445.5153007386564</v>
      </c>
      <c r="BK8" s="19">
        <f t="shared" si="14"/>
        <v>1555.0123109391488</v>
      </c>
      <c r="BL8" s="19">
        <f t="shared" si="15"/>
        <v>1710.4748505100247</v>
      </c>
      <c r="BM8" s="19">
        <v>3</v>
      </c>
      <c r="BN8" s="20">
        <v>10139.77</v>
      </c>
      <c r="BO8" s="20">
        <f>BN8*0.15</f>
        <v>1520.9655</v>
      </c>
      <c r="BP8" s="20"/>
      <c r="BQ8" s="19">
        <f t="shared" si="16"/>
        <v>8076.5459022159694</v>
      </c>
      <c r="BR8" s="19">
        <f t="shared" si="17"/>
        <v>8722.6169539219154</v>
      </c>
      <c r="BS8" s="19">
        <f t="shared" si="18"/>
        <v>9288.0548716144931</v>
      </c>
      <c r="BT8" s="19">
        <v>3</v>
      </c>
      <c r="BU8" s="20">
        <v>4</v>
      </c>
      <c r="BV8" s="20"/>
      <c r="BW8" s="20">
        <v>12</v>
      </c>
      <c r="BX8" s="20">
        <v>11</v>
      </c>
      <c r="BY8" s="20">
        <v>33</v>
      </c>
      <c r="BZ8" s="20">
        <v>16</v>
      </c>
      <c r="CA8" s="20">
        <v>32</v>
      </c>
      <c r="CB8" s="20">
        <f t="shared" si="19"/>
        <v>31</v>
      </c>
      <c r="CC8" s="20">
        <f t="shared" si="20"/>
        <v>77</v>
      </c>
      <c r="CD8" s="20"/>
      <c r="CE8" s="19">
        <f t="shared" si="21"/>
        <v>16.869504045022865</v>
      </c>
      <c r="CF8" s="19">
        <f t="shared" si="22"/>
        <v>19.113612381287375</v>
      </c>
      <c r="CG8" s="19">
        <f t="shared" si="23"/>
        <v>21.89940204009849</v>
      </c>
      <c r="CH8" s="10">
        <v>1</v>
      </c>
      <c r="CI8" s="42">
        <f t="shared" si="24"/>
        <v>2792.2181</v>
      </c>
      <c r="CJ8" s="43">
        <f t="shared" si="25"/>
        <v>29.240467815687659</v>
      </c>
    </row>
    <row r="9" spans="1:88">
      <c r="A9" s="2">
        <v>8</v>
      </c>
      <c r="B9" s="4">
        <v>307</v>
      </c>
      <c r="C9" s="4" t="s">
        <v>14</v>
      </c>
      <c r="D9" s="7">
        <v>10613</v>
      </c>
      <c r="E9" s="7" t="s">
        <v>61</v>
      </c>
      <c r="F9" s="7">
        <v>0.9</v>
      </c>
      <c r="G9" s="7"/>
      <c r="H9" s="14">
        <v>6</v>
      </c>
      <c r="I9" s="14"/>
      <c r="J9" s="14">
        <v>0.5</v>
      </c>
      <c r="K9" s="14">
        <f>5.5*105</f>
        <v>577.5</v>
      </c>
      <c r="L9" s="14"/>
      <c r="M9" s="19">
        <f t="shared" si="0"/>
        <v>3.54555047485051</v>
      </c>
      <c r="N9" s="19">
        <v>5</v>
      </c>
      <c r="O9" s="19">
        <v>6</v>
      </c>
      <c r="P9" s="19">
        <v>3</v>
      </c>
      <c r="Q9" s="20">
        <v>36</v>
      </c>
      <c r="R9" s="20">
        <v>9</v>
      </c>
      <c r="S9" s="20">
        <f>(36-9)*12</f>
        <v>324</v>
      </c>
      <c r="T9" s="20"/>
      <c r="U9" s="20"/>
      <c r="V9" s="20"/>
      <c r="W9" s="20"/>
      <c r="X9" s="20"/>
      <c r="Y9" s="20"/>
      <c r="Z9" s="20"/>
      <c r="AA9" s="20">
        <v>2649</v>
      </c>
      <c r="AB9" s="20">
        <f t="shared" si="2"/>
        <v>324</v>
      </c>
      <c r="AC9" s="20"/>
      <c r="AD9" s="19">
        <f t="shared" si="3"/>
        <v>1794.9349278930706</v>
      </c>
      <c r="AE9" s="19">
        <f t="shared" si="4"/>
        <v>1974.4284206823777</v>
      </c>
      <c r="AF9" s="19">
        <f t="shared" si="5"/>
        <v>2153.921913471685</v>
      </c>
      <c r="AG9" s="19">
        <v>3</v>
      </c>
      <c r="AH9" s="20">
        <v>4</v>
      </c>
      <c r="AI9" s="20">
        <v>1</v>
      </c>
      <c r="AJ9" s="20">
        <f>3*1.5</f>
        <v>4.5</v>
      </c>
      <c r="AK9" s="20">
        <v>29</v>
      </c>
      <c r="AL9" s="20">
        <f>29*2.5</f>
        <v>72.5</v>
      </c>
      <c r="AM9" s="20">
        <v>10</v>
      </c>
      <c r="AN9" s="20">
        <v>15</v>
      </c>
      <c r="AO9" s="20">
        <v>1</v>
      </c>
      <c r="AP9" s="20">
        <v>1.5</v>
      </c>
      <c r="AQ9" s="20">
        <v>1</v>
      </c>
      <c r="AR9" s="20">
        <v>1</v>
      </c>
      <c r="AS9" s="20">
        <v>45</v>
      </c>
      <c r="AT9" s="20">
        <f t="shared" si="6"/>
        <v>94.5</v>
      </c>
      <c r="AU9" s="20"/>
      <c r="AV9" s="19">
        <f t="shared" si="7"/>
        <v>45.14245515300739</v>
      </c>
      <c r="AW9" s="19">
        <f t="shared" si="8"/>
        <v>49.637706647907144</v>
      </c>
      <c r="AX9" s="19">
        <f t="shared" si="9"/>
        <v>54.576151952163215</v>
      </c>
      <c r="AY9" s="19">
        <v>1</v>
      </c>
      <c r="AZ9" s="20">
        <v>7542.69</v>
      </c>
      <c r="BA9" s="20">
        <f>AZ9*0.09</f>
        <v>678.84209999999996</v>
      </c>
      <c r="BB9" s="20"/>
      <c r="BC9" s="19">
        <f t="shared" si="10"/>
        <v>3404.868097080549</v>
      </c>
      <c r="BD9" s="19">
        <f t="shared" si="11"/>
        <v>3745.3042560675344</v>
      </c>
      <c r="BE9" s="19">
        <f t="shared" si="12"/>
        <v>4085.8670418571933</v>
      </c>
      <c r="BF9" s="19">
        <v>3</v>
      </c>
      <c r="BG9" s="20">
        <v>677.25</v>
      </c>
      <c r="BH9" s="20">
        <f>BG9*0.15</f>
        <v>101.58749999999999</v>
      </c>
      <c r="BI9" s="20">
        <f>(1183-677)*0.05</f>
        <v>25.3</v>
      </c>
      <c r="BJ9" s="19">
        <f t="shared" si="13"/>
        <v>1182.6943369679916</v>
      </c>
      <c r="BK9" s="19">
        <f t="shared" si="14"/>
        <v>1272.2827998593036</v>
      </c>
      <c r="BL9" s="19">
        <f t="shared" si="15"/>
        <v>1399.4794231445658</v>
      </c>
      <c r="BM9" s="19">
        <v>3</v>
      </c>
      <c r="BN9" s="20">
        <v>5405.51</v>
      </c>
      <c r="BO9" s="20">
        <f>BN9*0.1</f>
        <v>540.55100000000004</v>
      </c>
      <c r="BP9" s="20">
        <f>(6608-5406)*0.05</f>
        <v>60.1</v>
      </c>
      <c r="BQ9" s="19">
        <f t="shared" si="16"/>
        <v>6608.0830109039753</v>
      </c>
      <c r="BR9" s="19">
        <f t="shared" si="17"/>
        <v>7136.6865986633838</v>
      </c>
      <c r="BS9" s="19">
        <f t="shared" si="18"/>
        <v>7599.317622230039</v>
      </c>
      <c r="BT9" s="19">
        <v>3</v>
      </c>
      <c r="BU9" s="20">
        <v>13</v>
      </c>
      <c r="BV9" s="20">
        <v>3</v>
      </c>
      <c r="BW9" s="20">
        <v>30</v>
      </c>
      <c r="BX9" s="20"/>
      <c r="BY9" s="20"/>
      <c r="BZ9" s="20">
        <v>7</v>
      </c>
      <c r="CA9" s="20">
        <v>14</v>
      </c>
      <c r="CB9" s="20">
        <f t="shared" si="19"/>
        <v>20</v>
      </c>
      <c r="CC9" s="20">
        <f t="shared" si="20"/>
        <v>44</v>
      </c>
      <c r="CD9" s="20"/>
      <c r="CE9" s="19">
        <f t="shared" si="21"/>
        <v>13.802321491382344</v>
      </c>
      <c r="CF9" s="19">
        <f t="shared" si="22"/>
        <v>15.638410130144214</v>
      </c>
      <c r="CG9" s="19">
        <f t="shared" si="23"/>
        <v>17.9176925782624</v>
      </c>
      <c r="CH9" s="10">
        <v>1</v>
      </c>
      <c r="CI9" s="42">
        <f t="shared" si="24"/>
        <v>2360.9805999999999</v>
      </c>
      <c r="CJ9" s="43">
        <f t="shared" si="25"/>
        <v>85.4</v>
      </c>
    </row>
    <row r="10" spans="1:88">
      <c r="A10" s="2">
        <v>10</v>
      </c>
      <c r="B10" s="4">
        <v>307</v>
      </c>
      <c r="C10" s="4" t="s">
        <v>14</v>
      </c>
      <c r="D10" s="5">
        <v>5880</v>
      </c>
      <c r="E10" s="5" t="s">
        <v>62</v>
      </c>
      <c r="F10" s="5">
        <v>1</v>
      </c>
      <c r="G10" s="5"/>
      <c r="H10" s="13">
        <v>2</v>
      </c>
      <c r="I10" s="13"/>
      <c r="J10" s="13"/>
      <c r="K10" s="13">
        <v>120</v>
      </c>
      <c r="L10" s="13">
        <v>40</v>
      </c>
      <c r="M10" s="19">
        <f t="shared" si="0"/>
        <v>3.9395005276116777</v>
      </c>
      <c r="N10" s="19">
        <v>5</v>
      </c>
      <c r="O10" s="19">
        <v>6</v>
      </c>
      <c r="P10" s="19">
        <v>3</v>
      </c>
      <c r="Q10" s="20">
        <v>14</v>
      </c>
      <c r="R10" s="20">
        <v>3.5</v>
      </c>
      <c r="S10" s="20">
        <f>10*9</f>
        <v>90</v>
      </c>
      <c r="T10" s="20">
        <v>24</v>
      </c>
      <c r="U10" s="20">
        <v>9</v>
      </c>
      <c r="V10" s="20">
        <f>15*5</f>
        <v>75</v>
      </c>
      <c r="W10" s="20">
        <v>6</v>
      </c>
      <c r="X10" s="20">
        <v>54</v>
      </c>
      <c r="Y10" s="20">
        <v>1</v>
      </c>
      <c r="Z10" s="20">
        <v>3.5</v>
      </c>
      <c r="AA10" s="20">
        <v>2265.38</v>
      </c>
      <c r="AB10" s="20">
        <f t="shared" si="2"/>
        <v>222.5</v>
      </c>
      <c r="AC10" s="20"/>
      <c r="AD10" s="19">
        <f t="shared" si="3"/>
        <v>1994.372142103412</v>
      </c>
      <c r="AE10" s="19">
        <f t="shared" si="4"/>
        <v>2193.8093563137531</v>
      </c>
      <c r="AF10" s="19">
        <f t="shared" si="5"/>
        <v>2393.2465705240943</v>
      </c>
      <c r="AG10" s="19">
        <v>2</v>
      </c>
      <c r="AH10" s="20">
        <v>10</v>
      </c>
      <c r="AI10" s="20">
        <v>1</v>
      </c>
      <c r="AJ10" s="20"/>
      <c r="AK10" s="20">
        <v>14</v>
      </c>
      <c r="AL10" s="20"/>
      <c r="AM10" s="20">
        <v>2</v>
      </c>
      <c r="AN10" s="20"/>
      <c r="AO10" s="20">
        <v>5</v>
      </c>
      <c r="AP10" s="20"/>
      <c r="AQ10" s="20">
        <v>7</v>
      </c>
      <c r="AR10" s="20"/>
      <c r="AS10" s="20">
        <v>38</v>
      </c>
      <c r="AT10" s="20">
        <f t="shared" si="6"/>
        <v>0</v>
      </c>
      <c r="AU10" s="20">
        <f>12*1.5</f>
        <v>18</v>
      </c>
      <c r="AV10" s="19">
        <f t="shared" si="7"/>
        <v>50.158283503341544</v>
      </c>
      <c r="AW10" s="19">
        <f t="shared" si="8"/>
        <v>55.153007386563488</v>
      </c>
      <c r="AX10" s="19">
        <f t="shared" si="9"/>
        <v>60.640168835736901</v>
      </c>
      <c r="AY10" s="19">
        <v>1</v>
      </c>
      <c r="AZ10" s="20">
        <v>14037.19</v>
      </c>
      <c r="BA10" s="20">
        <f>AZ10*0.09</f>
        <v>1263.3471</v>
      </c>
      <c r="BB10" s="20"/>
      <c r="BC10" s="19">
        <f t="shared" si="10"/>
        <v>3783.1867745339432</v>
      </c>
      <c r="BD10" s="19">
        <f t="shared" si="11"/>
        <v>4161.4491734083713</v>
      </c>
      <c r="BE10" s="19">
        <f t="shared" si="12"/>
        <v>4539.8522687302147</v>
      </c>
      <c r="BF10" s="19">
        <v>3</v>
      </c>
      <c r="BG10" s="20">
        <v>1753.97</v>
      </c>
      <c r="BH10" s="20">
        <f>BG10*0.25</f>
        <v>438.49250000000001</v>
      </c>
      <c r="BI10" s="20"/>
      <c r="BJ10" s="19">
        <f t="shared" si="13"/>
        <v>1314.1048188533239</v>
      </c>
      <c r="BK10" s="19">
        <f t="shared" si="14"/>
        <v>1413.6475553992261</v>
      </c>
      <c r="BL10" s="19">
        <f t="shared" si="15"/>
        <v>1554.9771368272952</v>
      </c>
      <c r="BM10" s="19">
        <v>3</v>
      </c>
      <c r="BN10" s="20">
        <v>9790.93</v>
      </c>
      <c r="BO10" s="20">
        <f>BN10*0.15</f>
        <v>1468.6395</v>
      </c>
      <c r="BP10" s="20"/>
      <c r="BQ10" s="19">
        <f t="shared" si="16"/>
        <v>7342.3144565599723</v>
      </c>
      <c r="BR10" s="19">
        <f t="shared" si="17"/>
        <v>7929.6517762926487</v>
      </c>
      <c r="BS10" s="19">
        <f t="shared" si="18"/>
        <v>8443.6862469222651</v>
      </c>
      <c r="BT10" s="19">
        <v>3</v>
      </c>
      <c r="BU10" s="20">
        <v>13</v>
      </c>
      <c r="BV10" s="20">
        <v>2</v>
      </c>
      <c r="BW10" s="20">
        <v>55</v>
      </c>
      <c r="BX10" s="20">
        <v>1</v>
      </c>
      <c r="BY10" s="20">
        <v>5</v>
      </c>
      <c r="BZ10" s="20">
        <v>6</v>
      </c>
      <c r="CA10" s="20">
        <v>24</v>
      </c>
      <c r="CB10" s="20">
        <f t="shared" si="19"/>
        <v>20</v>
      </c>
      <c r="CC10" s="20">
        <f t="shared" si="20"/>
        <v>84</v>
      </c>
      <c r="CD10" s="20"/>
      <c r="CE10" s="19">
        <f t="shared" si="21"/>
        <v>15.335912768202602</v>
      </c>
      <c r="CF10" s="19">
        <f t="shared" si="22"/>
        <v>17.376011255715792</v>
      </c>
      <c r="CG10" s="19">
        <f t="shared" si="23"/>
        <v>19.908547309180442</v>
      </c>
      <c r="CH10" s="10">
        <v>3</v>
      </c>
      <c r="CI10" s="42">
        <f t="shared" si="24"/>
        <v>3596.9791</v>
      </c>
      <c r="CJ10" s="43">
        <f t="shared" si="25"/>
        <v>58</v>
      </c>
    </row>
    <row r="11" spans="1:88">
      <c r="A11" s="2">
        <v>11</v>
      </c>
      <c r="B11" s="4">
        <v>307</v>
      </c>
      <c r="C11" s="4" t="s">
        <v>14</v>
      </c>
      <c r="D11" s="5">
        <v>10886</v>
      </c>
      <c r="E11" s="5" t="s">
        <v>63</v>
      </c>
      <c r="F11" s="5">
        <v>0.05</v>
      </c>
      <c r="G11" s="5" t="s">
        <v>64</v>
      </c>
      <c r="M11" s="19">
        <f t="shared" si="0"/>
        <v>0.19697502638058392</v>
      </c>
      <c r="N11" s="19">
        <f t="shared" si="1"/>
        <v>0.21807949349278932</v>
      </c>
      <c r="O11" s="19">
        <f t="shared" ref="O11:O32" si="26">68*F11/14.215</f>
        <v>0.23918396060499475</v>
      </c>
      <c r="P11" s="19">
        <v>3</v>
      </c>
      <c r="Q11" s="20">
        <v>16</v>
      </c>
      <c r="R11" s="20">
        <v>4</v>
      </c>
      <c r="S11" s="20">
        <f>12*7</f>
        <v>84</v>
      </c>
      <c r="T11" s="20"/>
      <c r="U11" s="20"/>
      <c r="V11" s="20"/>
      <c r="W11" s="20"/>
      <c r="X11" s="20"/>
      <c r="Y11" s="20"/>
      <c r="Z11" s="20"/>
      <c r="AA11" s="20">
        <v>1176</v>
      </c>
      <c r="AB11" s="20">
        <f t="shared" si="2"/>
        <v>84</v>
      </c>
      <c r="AC11" s="20"/>
      <c r="AD11" s="19">
        <f t="shared" si="3"/>
        <v>99.718607105170591</v>
      </c>
      <c r="AE11" s="19">
        <f t="shared" si="4"/>
        <v>109.69046781568765</v>
      </c>
      <c r="AF11" s="19">
        <f t="shared" si="5"/>
        <v>119.66232852620472</v>
      </c>
      <c r="AG11" s="19">
        <v>1</v>
      </c>
      <c r="AH11" s="20">
        <v>9</v>
      </c>
      <c r="AI11" s="20">
        <v>1</v>
      </c>
      <c r="AJ11" s="20">
        <f>8*3.5</f>
        <v>28</v>
      </c>
      <c r="AK11" s="20">
        <v>26</v>
      </c>
      <c r="AL11" s="20">
        <f>26*5</f>
        <v>130</v>
      </c>
      <c r="AM11" s="20">
        <v>5</v>
      </c>
      <c r="AN11" s="20">
        <f>5*3.5</f>
        <v>17.5</v>
      </c>
      <c r="AO11" s="20">
        <v>7</v>
      </c>
      <c r="AP11" s="20">
        <v>21</v>
      </c>
      <c r="AQ11" s="20">
        <v>4</v>
      </c>
      <c r="AR11" s="20">
        <v>8</v>
      </c>
      <c r="AS11" s="20">
        <v>51</v>
      </c>
      <c r="AT11" s="20">
        <f t="shared" si="6"/>
        <v>204.5</v>
      </c>
      <c r="AU11" s="20"/>
      <c r="AV11" s="19">
        <f t="shared" si="7"/>
        <v>2.5079141751670768</v>
      </c>
      <c r="AW11" s="19">
        <v>4</v>
      </c>
      <c r="AX11" s="19">
        <v>6</v>
      </c>
      <c r="AY11" s="19">
        <v>3</v>
      </c>
      <c r="AZ11" s="20">
        <v>3358.6</v>
      </c>
      <c r="BA11" s="20">
        <f>AZ11*0.04</f>
        <v>134.34399999999999</v>
      </c>
      <c r="BB11" s="20"/>
      <c r="BC11" s="19">
        <f t="shared" si="10"/>
        <v>189.15933872669717</v>
      </c>
      <c r="BD11" s="19">
        <f t="shared" si="11"/>
        <v>208.07245867041857</v>
      </c>
      <c r="BE11" s="19">
        <f t="shared" si="12"/>
        <v>226.99261343651074</v>
      </c>
      <c r="BF11" s="19">
        <v>1</v>
      </c>
      <c r="BG11" s="20">
        <v>423</v>
      </c>
      <c r="BH11" s="20">
        <f>BG11*0.15</f>
        <v>63.449999999999996</v>
      </c>
      <c r="BI11" s="20"/>
      <c r="BJ11" s="19">
        <f t="shared" si="13"/>
        <v>65.705240942666194</v>
      </c>
      <c r="BK11" s="19">
        <f t="shared" si="14"/>
        <v>70.682377769961306</v>
      </c>
      <c r="BL11" s="19">
        <f t="shared" si="15"/>
        <v>77.748856841364756</v>
      </c>
      <c r="BM11" s="19">
        <v>1</v>
      </c>
      <c r="BN11" s="20">
        <v>4019.01</v>
      </c>
      <c r="BO11" s="20">
        <f>BN11*0.15</f>
        <v>602.85149999999999</v>
      </c>
      <c r="BP11" s="20"/>
      <c r="BQ11" s="19">
        <f t="shared" si="16"/>
        <v>367.11572282799858</v>
      </c>
      <c r="BR11" s="19">
        <f t="shared" si="17"/>
        <v>396.48258881463244</v>
      </c>
      <c r="BS11" s="19">
        <f t="shared" si="18"/>
        <v>422.1843123461133</v>
      </c>
      <c r="BT11" s="19">
        <v>3</v>
      </c>
      <c r="BU11" s="20">
        <v>1</v>
      </c>
      <c r="BV11" s="20"/>
      <c r="BW11" s="20">
        <v>5</v>
      </c>
      <c r="BX11" s="20"/>
      <c r="BY11" s="20"/>
      <c r="BZ11" s="20">
        <v>2</v>
      </c>
      <c r="CA11" s="20">
        <v>8</v>
      </c>
      <c r="CB11" s="20">
        <f t="shared" si="19"/>
        <v>3</v>
      </c>
      <c r="CC11" s="20">
        <f t="shared" si="20"/>
        <v>13</v>
      </c>
      <c r="CD11" s="20"/>
      <c r="CE11" s="19">
        <f t="shared" si="21"/>
        <v>0.76679563841013021</v>
      </c>
      <c r="CF11" s="19">
        <v>2</v>
      </c>
      <c r="CG11" s="19">
        <v>3</v>
      </c>
      <c r="CH11" s="10">
        <v>3</v>
      </c>
      <c r="CI11" s="42">
        <f t="shared" si="24"/>
        <v>1102.1455000000001</v>
      </c>
      <c r="CJ11" s="43">
        <f t="shared" si="25"/>
        <v>0</v>
      </c>
    </row>
    <row r="12" spans="1:88">
      <c r="A12" s="2">
        <v>12</v>
      </c>
      <c r="B12" s="4">
        <v>307</v>
      </c>
      <c r="C12" s="4" t="s">
        <v>14</v>
      </c>
      <c r="D12" s="5">
        <v>10922</v>
      </c>
      <c r="E12" s="5" t="s">
        <v>65</v>
      </c>
      <c r="F12" s="5">
        <v>0.8</v>
      </c>
      <c r="G12" s="5"/>
      <c r="H12" s="13">
        <v>3</v>
      </c>
      <c r="I12" s="13"/>
      <c r="J12" s="13"/>
      <c r="K12" s="13">
        <v>180</v>
      </c>
      <c r="L12" s="13"/>
      <c r="M12" s="19">
        <f t="shared" si="0"/>
        <v>3.1516004220893428</v>
      </c>
      <c r="N12" s="19">
        <v>4</v>
      </c>
      <c r="O12" s="19">
        <v>5</v>
      </c>
      <c r="P12" s="19">
        <v>3</v>
      </c>
      <c r="Q12" s="20">
        <v>16</v>
      </c>
      <c r="R12" s="20">
        <v>4</v>
      </c>
      <c r="S12" s="20">
        <f>12*7</f>
        <v>84</v>
      </c>
      <c r="T12" s="20">
        <v>15</v>
      </c>
      <c r="U12" s="20">
        <v>6</v>
      </c>
      <c r="V12" s="20">
        <f>9*3</f>
        <v>27</v>
      </c>
      <c r="W12" s="20">
        <v>14</v>
      </c>
      <c r="X12" s="20">
        <f>14*6</f>
        <v>84</v>
      </c>
      <c r="Y12" s="20">
        <v>6</v>
      </c>
      <c r="Z12" s="20">
        <f>6*2.5</f>
        <v>15</v>
      </c>
      <c r="AA12" s="20">
        <v>2759</v>
      </c>
      <c r="AB12" s="20">
        <f t="shared" si="2"/>
        <v>210</v>
      </c>
      <c r="AC12" s="20"/>
      <c r="AD12" s="19">
        <f t="shared" si="3"/>
        <v>1595.4977136827295</v>
      </c>
      <c r="AE12" s="19">
        <f t="shared" si="4"/>
        <v>1755.0474850510025</v>
      </c>
      <c r="AF12" s="19">
        <f t="shared" si="5"/>
        <v>1914.5972564192755</v>
      </c>
      <c r="AG12" s="19">
        <v>1</v>
      </c>
      <c r="AH12" s="20">
        <v>22</v>
      </c>
      <c r="AI12" s="20">
        <v>3</v>
      </c>
      <c r="AJ12" s="20"/>
      <c r="AK12" s="20">
        <v>15</v>
      </c>
      <c r="AL12" s="20"/>
      <c r="AM12" s="20">
        <v>6</v>
      </c>
      <c r="AN12" s="20"/>
      <c r="AO12" s="20">
        <v>11</v>
      </c>
      <c r="AP12" s="20"/>
      <c r="AQ12" s="20">
        <v>4</v>
      </c>
      <c r="AR12" s="20"/>
      <c r="AS12" s="20">
        <v>58</v>
      </c>
      <c r="AT12" s="20">
        <f t="shared" si="6"/>
        <v>0</v>
      </c>
      <c r="AU12" s="20"/>
      <c r="AV12" s="19">
        <f t="shared" si="7"/>
        <v>40.126626802673229</v>
      </c>
      <c r="AW12" s="19">
        <f t="shared" si="8"/>
        <v>44.122405909250794</v>
      </c>
      <c r="AX12" s="19">
        <f t="shared" si="9"/>
        <v>48.512135068589522</v>
      </c>
      <c r="AY12" s="19">
        <v>1</v>
      </c>
      <c r="AZ12" s="20">
        <v>4147</v>
      </c>
      <c r="BA12" s="20">
        <f>AZ12*0.04</f>
        <v>165.88</v>
      </c>
      <c r="BB12" s="20"/>
      <c r="BC12" s="19">
        <f t="shared" si="10"/>
        <v>3026.5494196271547</v>
      </c>
      <c r="BD12" s="19">
        <f t="shared" si="11"/>
        <v>3329.1593387266971</v>
      </c>
      <c r="BE12" s="19">
        <f t="shared" si="12"/>
        <v>3631.8818149841718</v>
      </c>
      <c r="BF12" s="19">
        <v>1</v>
      </c>
      <c r="BG12" s="20">
        <v>1205.7</v>
      </c>
      <c r="BH12" s="20">
        <f>BG12*0.15</f>
        <v>180.85499999999999</v>
      </c>
      <c r="BI12" s="20"/>
      <c r="BJ12" s="19">
        <f t="shared" si="13"/>
        <v>1051.2838550826591</v>
      </c>
      <c r="BK12" s="19">
        <f t="shared" si="14"/>
        <v>1130.9180443193809</v>
      </c>
      <c r="BL12" s="19">
        <f t="shared" si="15"/>
        <v>1243.9817094618361</v>
      </c>
      <c r="BM12" s="19">
        <v>1</v>
      </c>
      <c r="BN12" s="20">
        <v>5457.06</v>
      </c>
      <c r="BO12" s="20">
        <f>BN12*0.1</f>
        <v>545.70600000000002</v>
      </c>
      <c r="BP12" s="20">
        <f>(5874-5457)*0.05</f>
        <v>20.85</v>
      </c>
      <c r="BQ12" s="19">
        <f t="shared" si="16"/>
        <v>5873.8515652479773</v>
      </c>
      <c r="BR12" s="19">
        <f t="shared" si="17"/>
        <v>6343.721421034119</v>
      </c>
      <c r="BS12" s="19">
        <f t="shared" si="18"/>
        <v>6754.9489975378128</v>
      </c>
      <c r="BT12" s="19">
        <v>1</v>
      </c>
      <c r="BU12" s="20">
        <v>12</v>
      </c>
      <c r="BV12" s="20">
        <v>2</v>
      </c>
      <c r="BW12" s="20">
        <v>30</v>
      </c>
      <c r="BX12" s="20"/>
      <c r="BY12" s="20"/>
      <c r="BZ12" s="20">
        <v>9</v>
      </c>
      <c r="CA12" s="20">
        <v>18</v>
      </c>
      <c r="CB12" s="20">
        <f t="shared" si="19"/>
        <v>21</v>
      </c>
      <c r="CC12" s="20">
        <f t="shared" si="20"/>
        <v>48</v>
      </c>
      <c r="CD12" s="20"/>
      <c r="CE12" s="19">
        <f t="shared" si="21"/>
        <v>12.268730214562083</v>
      </c>
      <c r="CF12" s="19">
        <f t="shared" si="22"/>
        <v>13.900809004572636</v>
      </c>
      <c r="CG12" s="19">
        <f t="shared" si="23"/>
        <v>15.926837847344355</v>
      </c>
      <c r="CH12" s="10">
        <v>1</v>
      </c>
      <c r="CI12" s="42">
        <f t="shared" si="24"/>
        <v>1330.441</v>
      </c>
      <c r="CJ12" s="43">
        <f t="shared" si="25"/>
        <v>20.85</v>
      </c>
    </row>
    <row r="13" spans="1:88">
      <c r="A13" s="2">
        <v>13</v>
      </c>
      <c r="B13" s="4">
        <v>307</v>
      </c>
      <c r="C13" s="4" t="s">
        <v>14</v>
      </c>
      <c r="D13" s="5">
        <v>11117</v>
      </c>
      <c r="E13" s="5" t="s">
        <v>66</v>
      </c>
      <c r="F13" s="5">
        <v>2.5000000000000001E-2</v>
      </c>
      <c r="G13" s="5" t="s">
        <v>64</v>
      </c>
      <c r="H13" s="13"/>
      <c r="I13" s="13"/>
      <c r="J13" s="13"/>
      <c r="K13" s="13"/>
      <c r="L13" s="13"/>
      <c r="M13" s="19">
        <f t="shared" si="0"/>
        <v>9.8487513190291961E-2</v>
      </c>
      <c r="N13" s="19">
        <f t="shared" si="1"/>
        <v>0.10903974674639466</v>
      </c>
      <c r="O13" s="19">
        <f t="shared" si="26"/>
        <v>0.11959198030249737</v>
      </c>
      <c r="P13" s="19">
        <v>3</v>
      </c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>
        <f t="shared" si="2"/>
        <v>0</v>
      </c>
      <c r="AC13" s="20">
        <f>50*0.05</f>
        <v>2.5</v>
      </c>
      <c r="AD13" s="19">
        <f t="shared" si="3"/>
        <v>49.859303552585295</v>
      </c>
      <c r="AE13" s="19">
        <f t="shared" si="4"/>
        <v>54.845233907843827</v>
      </c>
      <c r="AF13" s="19">
        <f t="shared" si="5"/>
        <v>59.831164263102359</v>
      </c>
      <c r="AG13" s="19">
        <v>3</v>
      </c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>
        <f t="shared" si="6"/>
        <v>0</v>
      </c>
      <c r="AU13" s="20">
        <v>1.5</v>
      </c>
      <c r="AV13" s="19">
        <f t="shared" si="7"/>
        <v>1.2539570875835384</v>
      </c>
      <c r="AW13" s="19">
        <v>2</v>
      </c>
      <c r="AX13" s="19">
        <v>3</v>
      </c>
      <c r="AY13" s="19">
        <v>1</v>
      </c>
      <c r="AZ13" s="20"/>
      <c r="BA13" s="20"/>
      <c r="BB13" s="20">
        <f>95*0.04</f>
        <v>3.8000000000000003</v>
      </c>
      <c r="BC13" s="19">
        <f t="shared" si="10"/>
        <v>94.579669363348586</v>
      </c>
      <c r="BD13" s="19">
        <f t="shared" si="11"/>
        <v>104.03622933520928</v>
      </c>
      <c r="BE13" s="19">
        <f t="shared" si="12"/>
        <v>113.49630671825537</v>
      </c>
      <c r="BF13" s="19">
        <v>1</v>
      </c>
      <c r="BG13" s="20"/>
      <c r="BH13" s="20"/>
      <c r="BI13" s="20">
        <f>33*0.05</f>
        <v>1.6500000000000001</v>
      </c>
      <c r="BJ13" s="19">
        <f t="shared" si="13"/>
        <v>32.852620471333097</v>
      </c>
      <c r="BK13" s="19">
        <f t="shared" si="14"/>
        <v>35.341188884980653</v>
      </c>
      <c r="BL13" s="19">
        <f t="shared" si="15"/>
        <v>38.874428420682378</v>
      </c>
      <c r="BM13" s="19">
        <v>1</v>
      </c>
      <c r="BN13" s="20"/>
      <c r="BO13" s="20"/>
      <c r="BP13" s="20">
        <f>184*0.05</f>
        <v>9.2000000000000011</v>
      </c>
      <c r="BQ13" s="19">
        <f t="shared" si="16"/>
        <v>183.55786141399929</v>
      </c>
      <c r="BR13" s="19">
        <f t="shared" si="17"/>
        <v>198.24129440731622</v>
      </c>
      <c r="BS13" s="19">
        <f t="shared" si="18"/>
        <v>211.09215617305665</v>
      </c>
      <c r="BT13" s="19">
        <v>1</v>
      </c>
      <c r="BU13" s="20"/>
      <c r="BV13" s="20"/>
      <c r="BW13" s="20"/>
      <c r="BX13" s="20"/>
      <c r="BY13" s="20"/>
      <c r="BZ13" s="20"/>
      <c r="CA13" s="20"/>
      <c r="CB13" s="20">
        <f t="shared" si="19"/>
        <v>0</v>
      </c>
      <c r="CC13" s="20">
        <f t="shared" si="20"/>
        <v>0</v>
      </c>
      <c r="CD13" s="20"/>
      <c r="CE13" s="19">
        <f t="shared" si="21"/>
        <v>0.3833978192050651</v>
      </c>
      <c r="CF13" s="19">
        <f t="shared" si="22"/>
        <v>0.43440028139289488</v>
      </c>
      <c r="CG13" s="19">
        <f t="shared" si="23"/>
        <v>0.49771368272951111</v>
      </c>
      <c r="CH13" s="10">
        <v>1</v>
      </c>
      <c r="CI13" s="42">
        <f t="shared" si="24"/>
        <v>0</v>
      </c>
      <c r="CJ13" s="43">
        <f t="shared" si="25"/>
        <v>18.650000000000002</v>
      </c>
    </row>
    <row r="14" spans="1:88">
      <c r="A14" s="2">
        <v>14</v>
      </c>
      <c r="B14" s="4">
        <v>307</v>
      </c>
      <c r="C14" s="4" t="s">
        <v>14</v>
      </c>
      <c r="D14" s="5">
        <v>7588</v>
      </c>
      <c r="E14" s="5" t="s">
        <v>67</v>
      </c>
      <c r="F14" s="5">
        <v>0.8</v>
      </c>
      <c r="G14" s="5"/>
      <c r="H14" s="13">
        <v>5</v>
      </c>
      <c r="I14" s="13">
        <v>1</v>
      </c>
      <c r="J14" s="13"/>
      <c r="K14" s="13">
        <f>4*75</f>
        <v>300</v>
      </c>
      <c r="L14" s="13"/>
      <c r="M14" s="19">
        <f t="shared" si="0"/>
        <v>3.1516004220893428</v>
      </c>
      <c r="N14" s="19">
        <v>4</v>
      </c>
      <c r="O14" s="19">
        <v>5</v>
      </c>
      <c r="P14" s="19">
        <v>1</v>
      </c>
      <c r="Q14" s="20">
        <v>1</v>
      </c>
      <c r="R14" s="20"/>
      <c r="S14" s="20"/>
      <c r="T14" s="20"/>
      <c r="U14" s="20"/>
      <c r="V14" s="20"/>
      <c r="W14" s="20"/>
      <c r="X14" s="20"/>
      <c r="Y14" s="20"/>
      <c r="Z14" s="20"/>
      <c r="AA14" s="20">
        <v>95</v>
      </c>
      <c r="AB14" s="20">
        <f t="shared" si="2"/>
        <v>0</v>
      </c>
      <c r="AC14" s="20">
        <f>(1595-95)*0.05</f>
        <v>75</v>
      </c>
      <c r="AD14" s="19">
        <f t="shared" si="3"/>
        <v>1595.4977136827295</v>
      </c>
      <c r="AE14" s="19">
        <f t="shared" si="4"/>
        <v>1755.0474850510025</v>
      </c>
      <c r="AF14" s="19">
        <f t="shared" si="5"/>
        <v>1914.5972564192755</v>
      </c>
      <c r="AG14" s="19">
        <v>1</v>
      </c>
      <c r="AH14" s="20">
        <v>19</v>
      </c>
      <c r="AI14" s="20">
        <v>3</v>
      </c>
      <c r="AJ14" s="20"/>
      <c r="AK14" s="20">
        <v>5</v>
      </c>
      <c r="AL14" s="20"/>
      <c r="AM14" s="20">
        <v>1</v>
      </c>
      <c r="AN14" s="20"/>
      <c r="AO14" s="20"/>
      <c r="AP14" s="20"/>
      <c r="AQ14" s="20">
        <v>2</v>
      </c>
      <c r="AR14" s="20"/>
      <c r="AS14" s="20">
        <v>27</v>
      </c>
      <c r="AT14" s="20">
        <f t="shared" si="6"/>
        <v>0</v>
      </c>
      <c r="AU14" s="20">
        <f>13*1.5</f>
        <v>19.5</v>
      </c>
      <c r="AV14" s="19">
        <f t="shared" si="7"/>
        <v>40.126626802673229</v>
      </c>
      <c r="AW14" s="19">
        <f t="shared" si="8"/>
        <v>44.122405909250794</v>
      </c>
      <c r="AX14" s="19">
        <f t="shared" si="9"/>
        <v>48.512135068589522</v>
      </c>
      <c r="AY14" s="19">
        <v>1</v>
      </c>
      <c r="AZ14" s="20">
        <v>437.32</v>
      </c>
      <c r="BA14" s="20"/>
      <c r="BB14" s="20">
        <f>(3027-437)*0.04</f>
        <v>103.60000000000001</v>
      </c>
      <c r="BC14" s="19">
        <f t="shared" si="10"/>
        <v>3026.5494196271547</v>
      </c>
      <c r="BD14" s="19">
        <f t="shared" si="11"/>
        <v>3329.1593387266971</v>
      </c>
      <c r="BE14" s="19">
        <f t="shared" si="12"/>
        <v>3631.8818149841718</v>
      </c>
      <c r="BF14" s="19">
        <v>1</v>
      </c>
      <c r="BG14" s="20">
        <v>920</v>
      </c>
      <c r="BH14" s="20">
        <f>BG14*0.15</f>
        <v>138</v>
      </c>
      <c r="BI14" s="20">
        <f>(1051-920)*0.05</f>
        <v>6.5500000000000007</v>
      </c>
      <c r="BJ14" s="19">
        <f t="shared" si="13"/>
        <v>1051.2838550826591</v>
      </c>
      <c r="BK14" s="19">
        <f t="shared" si="14"/>
        <v>1130.9180443193809</v>
      </c>
      <c r="BL14" s="19">
        <f t="shared" si="15"/>
        <v>1243.9817094618361</v>
      </c>
      <c r="BM14" s="19">
        <v>2</v>
      </c>
      <c r="BN14" s="20">
        <v>2950.51</v>
      </c>
      <c r="BO14" s="20">
        <f>BN14*0.1</f>
        <v>295.05100000000004</v>
      </c>
      <c r="BP14" s="20">
        <f>(5874-2951)*0.05</f>
        <v>146.15</v>
      </c>
      <c r="BQ14" s="19">
        <f t="shared" si="16"/>
        <v>5873.8515652479773</v>
      </c>
      <c r="BR14" s="19">
        <f t="shared" si="17"/>
        <v>6343.721421034119</v>
      </c>
      <c r="BS14" s="19">
        <f t="shared" si="18"/>
        <v>6754.9489975378128</v>
      </c>
      <c r="BT14" s="19">
        <v>1</v>
      </c>
      <c r="BU14" s="20">
        <v>5</v>
      </c>
      <c r="BV14" s="20">
        <v>1</v>
      </c>
      <c r="BW14" s="20">
        <v>12</v>
      </c>
      <c r="BX14" s="20"/>
      <c r="BY14" s="20"/>
      <c r="BZ14" s="20">
        <v>7</v>
      </c>
      <c r="CA14" s="20">
        <v>14</v>
      </c>
      <c r="CB14" s="20">
        <f t="shared" si="19"/>
        <v>12</v>
      </c>
      <c r="CC14" s="20">
        <f t="shared" si="20"/>
        <v>26</v>
      </c>
      <c r="CD14" s="20"/>
      <c r="CE14" s="19">
        <f t="shared" si="21"/>
        <v>12.268730214562083</v>
      </c>
      <c r="CF14" s="19">
        <f t="shared" si="22"/>
        <v>13.900809004572636</v>
      </c>
      <c r="CG14" s="19">
        <f t="shared" si="23"/>
        <v>15.926837847344355</v>
      </c>
      <c r="CH14" s="10">
        <v>1</v>
      </c>
      <c r="CI14" s="42">
        <f t="shared" si="24"/>
        <v>759.05100000000004</v>
      </c>
      <c r="CJ14" s="43">
        <f t="shared" si="25"/>
        <v>350.80000000000007</v>
      </c>
    </row>
    <row r="15" spans="1:88">
      <c r="A15" s="2">
        <v>15</v>
      </c>
      <c r="B15" s="4">
        <v>307</v>
      </c>
      <c r="C15" s="4" t="s">
        <v>14</v>
      </c>
      <c r="D15" s="5">
        <v>9679</v>
      </c>
      <c r="E15" s="5" t="s">
        <v>68</v>
      </c>
      <c r="F15" s="5">
        <v>0.05</v>
      </c>
      <c r="G15" s="5" t="s">
        <v>64</v>
      </c>
      <c r="H15" s="13"/>
      <c r="I15" s="13"/>
      <c r="J15" s="13"/>
      <c r="K15" s="13"/>
      <c r="L15" s="13"/>
      <c r="M15" s="19">
        <f t="shared" si="0"/>
        <v>0.19697502638058392</v>
      </c>
      <c r="N15" s="19">
        <f t="shared" si="1"/>
        <v>0.21807949349278932</v>
      </c>
      <c r="O15" s="19">
        <f t="shared" si="26"/>
        <v>0.23918396060499475</v>
      </c>
      <c r="P15" s="19">
        <v>3</v>
      </c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>
        <f t="shared" si="2"/>
        <v>0</v>
      </c>
      <c r="AC15" s="20">
        <f>100*0.05</f>
        <v>5</v>
      </c>
      <c r="AD15" s="19">
        <f t="shared" si="3"/>
        <v>99.718607105170591</v>
      </c>
      <c r="AE15" s="19">
        <f t="shared" si="4"/>
        <v>109.69046781568765</v>
      </c>
      <c r="AF15" s="19">
        <f t="shared" si="5"/>
        <v>119.66232852620472</v>
      </c>
      <c r="AG15" s="19">
        <v>1</v>
      </c>
      <c r="AH15" s="20">
        <v>3</v>
      </c>
      <c r="AI15" s="20">
        <v>1</v>
      </c>
      <c r="AJ15" s="20">
        <f>2*3.5</f>
        <v>7</v>
      </c>
      <c r="AK15" s="20"/>
      <c r="AL15" s="20"/>
      <c r="AM15" s="20">
        <v>2</v>
      </c>
      <c r="AN15" s="20">
        <f>2*3.5</f>
        <v>7</v>
      </c>
      <c r="AO15" s="20">
        <v>1</v>
      </c>
      <c r="AP15" s="20">
        <v>3</v>
      </c>
      <c r="AQ15" s="20">
        <v>2</v>
      </c>
      <c r="AR15" s="20">
        <v>4</v>
      </c>
      <c r="AS15" s="20">
        <v>8</v>
      </c>
      <c r="AT15" s="20">
        <f t="shared" si="6"/>
        <v>21</v>
      </c>
      <c r="AU15" s="20"/>
      <c r="AV15" s="19">
        <f t="shared" si="7"/>
        <v>2.5079141751670768</v>
      </c>
      <c r="AW15" s="19">
        <v>4</v>
      </c>
      <c r="AX15" s="19">
        <v>6</v>
      </c>
      <c r="AY15" s="19">
        <v>3</v>
      </c>
      <c r="AZ15" s="20">
        <v>690</v>
      </c>
      <c r="BA15" s="20">
        <f>AZ15*0.04</f>
        <v>27.6</v>
      </c>
      <c r="BB15" s="20"/>
      <c r="BC15" s="19">
        <f t="shared" si="10"/>
        <v>189.15933872669717</v>
      </c>
      <c r="BD15" s="19">
        <f t="shared" si="11"/>
        <v>208.07245867041857</v>
      </c>
      <c r="BE15" s="19">
        <f t="shared" si="12"/>
        <v>226.99261343651074</v>
      </c>
      <c r="BF15" s="19">
        <v>1</v>
      </c>
      <c r="BG15" s="20">
        <v>154.44999999999999</v>
      </c>
      <c r="BH15" s="20">
        <f>BG15*0.25</f>
        <v>38.612499999999997</v>
      </c>
      <c r="BI15" s="20"/>
      <c r="BJ15" s="19">
        <f t="shared" si="13"/>
        <v>65.705240942666194</v>
      </c>
      <c r="BK15" s="19">
        <f t="shared" si="14"/>
        <v>70.682377769961306</v>
      </c>
      <c r="BL15" s="19">
        <f t="shared" si="15"/>
        <v>77.748856841364756</v>
      </c>
      <c r="BM15" s="19">
        <v>3</v>
      </c>
      <c r="BN15" s="20">
        <v>469</v>
      </c>
      <c r="BO15" s="20">
        <f>469*0.12</f>
        <v>56.28</v>
      </c>
      <c r="BP15" s="20"/>
      <c r="BQ15" s="19">
        <f t="shared" si="16"/>
        <v>367.11572282799858</v>
      </c>
      <c r="BR15" s="19">
        <f t="shared" si="17"/>
        <v>396.48258881463244</v>
      </c>
      <c r="BS15" s="19">
        <f t="shared" si="18"/>
        <v>422.1843123461133</v>
      </c>
      <c r="BT15" s="19">
        <v>2</v>
      </c>
      <c r="BU15" s="20">
        <v>4</v>
      </c>
      <c r="BV15" s="20">
        <v>1</v>
      </c>
      <c r="BW15" s="20">
        <v>15</v>
      </c>
      <c r="BX15" s="20"/>
      <c r="BY15" s="20"/>
      <c r="BZ15" s="20">
        <v>2</v>
      </c>
      <c r="CA15" s="20">
        <v>8</v>
      </c>
      <c r="CB15" s="20">
        <f t="shared" si="19"/>
        <v>6</v>
      </c>
      <c r="CC15" s="20">
        <f t="shared" si="20"/>
        <v>23</v>
      </c>
      <c r="CD15" s="20"/>
      <c r="CE15" s="19">
        <f t="shared" si="21"/>
        <v>0.76679563841013021</v>
      </c>
      <c r="CF15" s="19">
        <v>2</v>
      </c>
      <c r="CG15" s="19">
        <v>3</v>
      </c>
      <c r="CH15" s="10">
        <v>3</v>
      </c>
      <c r="CI15" s="42">
        <f t="shared" si="24"/>
        <v>166.49250000000001</v>
      </c>
      <c r="CJ15" s="43">
        <f t="shared" si="25"/>
        <v>5</v>
      </c>
    </row>
    <row r="16" spans="1:88">
      <c r="A16" s="2">
        <v>16</v>
      </c>
      <c r="B16" s="4">
        <v>307</v>
      </c>
      <c r="C16" s="4" t="s">
        <v>14</v>
      </c>
      <c r="D16" s="5">
        <v>7551</v>
      </c>
      <c r="E16" s="5" t="s">
        <v>69</v>
      </c>
      <c r="F16" s="5">
        <v>0.05</v>
      </c>
      <c r="G16" s="5" t="s">
        <v>64</v>
      </c>
      <c r="H16" s="13">
        <v>2</v>
      </c>
      <c r="I16" s="13"/>
      <c r="J16" s="13"/>
      <c r="K16" s="13"/>
      <c r="L16" s="13"/>
      <c r="M16" s="19">
        <f t="shared" si="0"/>
        <v>0.19697502638058392</v>
      </c>
      <c r="N16" s="19">
        <f t="shared" si="1"/>
        <v>0.21807949349278932</v>
      </c>
      <c r="O16" s="19">
        <f t="shared" si="26"/>
        <v>0.23918396060499475</v>
      </c>
      <c r="P16" s="19">
        <v>3</v>
      </c>
      <c r="Q16" s="20">
        <v>1</v>
      </c>
      <c r="R16" s="20"/>
      <c r="S16" s="20">
        <v>12</v>
      </c>
      <c r="T16" s="20"/>
      <c r="U16" s="20"/>
      <c r="V16" s="20"/>
      <c r="W16" s="20"/>
      <c r="X16" s="20"/>
      <c r="Y16" s="20">
        <v>1</v>
      </c>
      <c r="Z16" s="20">
        <v>5</v>
      </c>
      <c r="AA16" s="20">
        <v>131.5</v>
      </c>
      <c r="AB16" s="20">
        <f t="shared" si="2"/>
        <v>17</v>
      </c>
      <c r="AC16" s="20"/>
      <c r="AD16" s="19">
        <f t="shared" si="3"/>
        <v>99.718607105170591</v>
      </c>
      <c r="AE16" s="19">
        <f t="shared" si="4"/>
        <v>109.69046781568765</v>
      </c>
      <c r="AF16" s="19">
        <f t="shared" si="5"/>
        <v>119.66232852620472</v>
      </c>
      <c r="AG16" s="19">
        <v>3</v>
      </c>
      <c r="AH16" s="20">
        <v>5</v>
      </c>
      <c r="AI16" s="20">
        <v>1</v>
      </c>
      <c r="AJ16" s="20">
        <f>4*3.5</f>
        <v>14</v>
      </c>
      <c r="AK16" s="20">
        <v>1</v>
      </c>
      <c r="AL16" s="20">
        <v>5</v>
      </c>
      <c r="AM16" s="20">
        <v>1</v>
      </c>
      <c r="AN16" s="20">
        <v>3.5</v>
      </c>
      <c r="AO16" s="20">
        <v>1</v>
      </c>
      <c r="AP16" s="20">
        <v>3</v>
      </c>
      <c r="AQ16" s="20"/>
      <c r="AR16" s="20"/>
      <c r="AS16" s="20">
        <v>8</v>
      </c>
      <c r="AT16" s="20">
        <f t="shared" si="6"/>
        <v>25.5</v>
      </c>
      <c r="AU16" s="20"/>
      <c r="AV16" s="19">
        <f t="shared" si="7"/>
        <v>2.5079141751670768</v>
      </c>
      <c r="AW16" s="19">
        <v>4</v>
      </c>
      <c r="AX16" s="19">
        <v>6</v>
      </c>
      <c r="AY16" s="19">
        <v>3</v>
      </c>
      <c r="AZ16" s="20">
        <v>508</v>
      </c>
      <c r="BA16" s="20">
        <f>AZ16*0.09</f>
        <v>45.72</v>
      </c>
      <c r="BB16" s="20"/>
      <c r="BC16" s="19">
        <f t="shared" si="10"/>
        <v>189.15933872669717</v>
      </c>
      <c r="BD16" s="19">
        <f t="shared" si="11"/>
        <v>208.07245867041857</v>
      </c>
      <c r="BE16" s="19">
        <f t="shared" si="12"/>
        <v>226.99261343651074</v>
      </c>
      <c r="BF16" s="19">
        <v>3</v>
      </c>
      <c r="BG16" s="20">
        <v>226</v>
      </c>
      <c r="BH16" s="20">
        <f>BG16*0.25</f>
        <v>56.5</v>
      </c>
      <c r="BI16" s="20"/>
      <c r="BJ16" s="19">
        <f t="shared" si="13"/>
        <v>65.705240942666194</v>
      </c>
      <c r="BK16" s="19">
        <f t="shared" si="14"/>
        <v>70.682377769961306</v>
      </c>
      <c r="BL16" s="19">
        <f t="shared" si="15"/>
        <v>77.748856841364756</v>
      </c>
      <c r="BM16" s="19">
        <v>3</v>
      </c>
      <c r="BN16" s="20">
        <v>556.33000000000004</v>
      </c>
      <c r="BO16" s="20">
        <f>BN16*0.15</f>
        <v>83.4495</v>
      </c>
      <c r="BP16" s="20"/>
      <c r="BQ16" s="19">
        <f t="shared" si="16"/>
        <v>367.11572282799858</v>
      </c>
      <c r="BR16" s="19">
        <f t="shared" si="17"/>
        <v>396.48258881463244</v>
      </c>
      <c r="BS16" s="19">
        <f t="shared" si="18"/>
        <v>422.1843123461133</v>
      </c>
      <c r="BT16" s="19">
        <v>3</v>
      </c>
      <c r="BU16" s="20">
        <v>1</v>
      </c>
      <c r="BV16" s="20"/>
      <c r="BW16" s="20">
        <v>5</v>
      </c>
      <c r="BX16" s="20"/>
      <c r="BY16" s="20"/>
      <c r="BZ16" s="20">
        <v>3</v>
      </c>
      <c r="CA16" s="20">
        <v>12</v>
      </c>
      <c r="CB16" s="20">
        <f t="shared" si="19"/>
        <v>4</v>
      </c>
      <c r="CC16" s="20">
        <f t="shared" si="20"/>
        <v>17</v>
      </c>
      <c r="CD16" s="20"/>
      <c r="CE16" s="19">
        <f t="shared" si="21"/>
        <v>0.76679563841013021</v>
      </c>
      <c r="CF16" s="19">
        <v>2</v>
      </c>
      <c r="CG16" s="19">
        <v>3</v>
      </c>
      <c r="CH16" s="10">
        <v>3</v>
      </c>
      <c r="CI16" s="42">
        <f t="shared" si="24"/>
        <v>245.1695</v>
      </c>
      <c r="CJ16" s="43">
        <f t="shared" si="25"/>
        <v>0</v>
      </c>
    </row>
    <row r="17" spans="1:88">
      <c r="A17" s="2">
        <v>3</v>
      </c>
      <c r="B17" s="4">
        <v>307</v>
      </c>
      <c r="C17" s="4" t="s">
        <v>14</v>
      </c>
      <c r="D17" s="5">
        <v>8527</v>
      </c>
      <c r="E17" s="5" t="s">
        <v>70</v>
      </c>
      <c r="F17" s="5">
        <v>0.05</v>
      </c>
      <c r="G17" s="5" t="s">
        <v>64</v>
      </c>
      <c r="H17" s="13"/>
      <c r="I17" s="13"/>
      <c r="J17" s="13"/>
      <c r="K17" s="13"/>
      <c r="L17" s="13"/>
      <c r="M17" s="19">
        <f t="shared" si="0"/>
        <v>0.19697502638058392</v>
      </c>
      <c r="N17" s="19">
        <f t="shared" si="1"/>
        <v>0.21807949349278932</v>
      </c>
      <c r="O17" s="19">
        <f t="shared" si="26"/>
        <v>0.23918396060499475</v>
      </c>
      <c r="P17" s="19">
        <v>3</v>
      </c>
      <c r="Q17" s="20"/>
      <c r="R17" s="20"/>
      <c r="S17" s="20"/>
      <c r="T17" s="20"/>
      <c r="U17" s="20"/>
      <c r="V17" s="20"/>
      <c r="W17" s="20">
        <v>1</v>
      </c>
      <c r="X17" s="20">
        <v>12</v>
      </c>
      <c r="Y17" s="20">
        <v>2</v>
      </c>
      <c r="Z17" s="20">
        <v>10</v>
      </c>
      <c r="AA17" s="20">
        <v>133</v>
      </c>
      <c r="AB17" s="20">
        <f t="shared" si="2"/>
        <v>22</v>
      </c>
      <c r="AC17" s="20"/>
      <c r="AD17" s="19">
        <f t="shared" si="3"/>
        <v>99.718607105170591</v>
      </c>
      <c r="AE17" s="19">
        <f t="shared" si="4"/>
        <v>109.69046781568765</v>
      </c>
      <c r="AF17" s="19">
        <f t="shared" si="5"/>
        <v>119.66232852620472</v>
      </c>
      <c r="AG17" s="19">
        <v>3</v>
      </c>
      <c r="AH17" s="20">
        <v>4</v>
      </c>
      <c r="AI17" s="20">
        <v>1</v>
      </c>
      <c r="AJ17" s="20">
        <f>3*3.5</f>
        <v>10.5</v>
      </c>
      <c r="AK17" s="20"/>
      <c r="AL17" s="20"/>
      <c r="AM17" s="20">
        <v>2</v>
      </c>
      <c r="AN17" s="20">
        <v>7</v>
      </c>
      <c r="AO17" s="20">
        <v>1</v>
      </c>
      <c r="AP17" s="20">
        <v>3</v>
      </c>
      <c r="AQ17" s="20"/>
      <c r="AR17" s="20"/>
      <c r="AS17" s="20">
        <v>7</v>
      </c>
      <c r="AT17" s="20">
        <f t="shared" si="6"/>
        <v>20.5</v>
      </c>
      <c r="AU17" s="20"/>
      <c r="AV17" s="19">
        <f t="shared" si="7"/>
        <v>2.5079141751670768</v>
      </c>
      <c r="AW17" s="19">
        <v>4</v>
      </c>
      <c r="AX17" s="19">
        <v>6</v>
      </c>
      <c r="AY17" s="19">
        <v>3</v>
      </c>
      <c r="AZ17" s="20">
        <v>306</v>
      </c>
      <c r="BA17" s="20">
        <f>AZ17*0.09</f>
        <v>27.54</v>
      </c>
      <c r="BB17" s="20"/>
      <c r="BC17" s="19">
        <f t="shared" si="10"/>
        <v>189.15933872669717</v>
      </c>
      <c r="BD17" s="19">
        <f t="shared" si="11"/>
        <v>208.07245867041857</v>
      </c>
      <c r="BE17" s="19">
        <f t="shared" si="12"/>
        <v>226.99261343651074</v>
      </c>
      <c r="BF17" s="19">
        <v>3</v>
      </c>
      <c r="BG17" s="20">
        <v>145</v>
      </c>
      <c r="BH17" s="20">
        <f>BG17*0.25</f>
        <v>36.25</v>
      </c>
      <c r="BI17" s="20"/>
      <c r="BJ17" s="19">
        <f t="shared" si="13"/>
        <v>65.705240942666194</v>
      </c>
      <c r="BK17" s="19">
        <f t="shared" si="14"/>
        <v>70.682377769961306</v>
      </c>
      <c r="BL17" s="19">
        <f t="shared" si="15"/>
        <v>77.748856841364756</v>
      </c>
      <c r="BM17" s="19">
        <v>3</v>
      </c>
      <c r="BN17" s="20">
        <v>554</v>
      </c>
      <c r="BO17" s="20">
        <f>BN17*0.15</f>
        <v>83.1</v>
      </c>
      <c r="BP17" s="20"/>
      <c r="BQ17" s="19">
        <f t="shared" si="16"/>
        <v>367.11572282799858</v>
      </c>
      <c r="BR17" s="19">
        <f t="shared" si="17"/>
        <v>396.48258881463244</v>
      </c>
      <c r="BS17" s="19">
        <f t="shared" si="18"/>
        <v>422.1843123461133</v>
      </c>
      <c r="BT17" s="19">
        <v>3</v>
      </c>
      <c r="BU17" s="20"/>
      <c r="BV17" s="20"/>
      <c r="BW17" s="20"/>
      <c r="BX17" s="20"/>
      <c r="BY17" s="20"/>
      <c r="BZ17" s="20">
        <v>3</v>
      </c>
      <c r="CA17" s="20">
        <v>12</v>
      </c>
      <c r="CB17" s="20">
        <f t="shared" si="19"/>
        <v>3</v>
      </c>
      <c r="CC17" s="20">
        <f t="shared" si="20"/>
        <v>12</v>
      </c>
      <c r="CD17" s="20"/>
      <c r="CE17" s="19">
        <f t="shared" si="21"/>
        <v>0.76679563841013021</v>
      </c>
      <c r="CF17" s="19">
        <v>2</v>
      </c>
      <c r="CG17" s="19">
        <v>3</v>
      </c>
      <c r="CH17" s="10">
        <v>3</v>
      </c>
      <c r="CI17" s="42">
        <f t="shared" si="24"/>
        <v>201.39</v>
      </c>
      <c r="CJ17" s="43">
        <f t="shared" si="25"/>
        <v>0</v>
      </c>
    </row>
    <row r="18" spans="1:88">
      <c r="A18" s="2">
        <v>18</v>
      </c>
      <c r="B18" s="4">
        <v>307</v>
      </c>
      <c r="C18" s="4" t="s">
        <v>14</v>
      </c>
      <c r="D18" s="5">
        <v>10989</v>
      </c>
      <c r="E18" s="5" t="s">
        <v>71</v>
      </c>
      <c r="F18" s="5">
        <v>0.9</v>
      </c>
      <c r="G18" s="8"/>
      <c r="H18" s="15">
        <v>5</v>
      </c>
      <c r="I18" s="15">
        <v>1</v>
      </c>
      <c r="J18" s="15"/>
      <c r="K18" s="15">
        <f>4*75</f>
        <v>300</v>
      </c>
      <c r="L18" s="15"/>
      <c r="M18" s="19">
        <f t="shared" si="0"/>
        <v>3.54555047485051</v>
      </c>
      <c r="N18" s="19">
        <v>5</v>
      </c>
      <c r="O18" s="19">
        <v>6</v>
      </c>
      <c r="P18" s="19">
        <v>1</v>
      </c>
      <c r="Q18" s="20">
        <v>48</v>
      </c>
      <c r="R18" s="20">
        <v>12</v>
      </c>
      <c r="S18" s="20">
        <f>36*7</f>
        <v>252</v>
      </c>
      <c r="T18" s="20">
        <v>12</v>
      </c>
      <c r="U18" s="20">
        <v>6</v>
      </c>
      <c r="V18" s="20">
        <f>6*3</f>
        <v>18</v>
      </c>
      <c r="W18" s="20"/>
      <c r="X18" s="20"/>
      <c r="Y18" s="20">
        <v>9</v>
      </c>
      <c r="Z18" s="20">
        <f>9*2.5</f>
        <v>22.5</v>
      </c>
      <c r="AA18" s="20">
        <v>4120.25</v>
      </c>
      <c r="AB18" s="20">
        <f t="shared" si="2"/>
        <v>292.5</v>
      </c>
      <c r="AC18" s="20"/>
      <c r="AD18" s="19">
        <f t="shared" si="3"/>
        <v>1794.9349278930706</v>
      </c>
      <c r="AE18" s="19">
        <f t="shared" si="4"/>
        <v>1974.4284206823777</v>
      </c>
      <c r="AF18" s="19">
        <f t="shared" si="5"/>
        <v>2153.921913471685</v>
      </c>
      <c r="AG18" s="19">
        <v>1</v>
      </c>
      <c r="AH18" s="20">
        <v>28</v>
      </c>
      <c r="AI18" s="20">
        <v>6</v>
      </c>
      <c r="AJ18" s="20">
        <f>22*2.5</f>
        <v>55</v>
      </c>
      <c r="AK18" s="20">
        <v>42</v>
      </c>
      <c r="AL18" s="20">
        <f>42*3.5</f>
        <v>147</v>
      </c>
      <c r="AM18" s="20">
        <v>18</v>
      </c>
      <c r="AN18" s="20"/>
      <c r="AO18" s="20">
        <v>7</v>
      </c>
      <c r="AP18" s="20">
        <v>14</v>
      </c>
      <c r="AQ18" s="20">
        <v>1</v>
      </c>
      <c r="AR18" s="20">
        <v>1.5</v>
      </c>
      <c r="AS18" s="20">
        <v>96</v>
      </c>
      <c r="AT18" s="20">
        <f t="shared" si="6"/>
        <v>217.5</v>
      </c>
      <c r="AU18" s="20"/>
      <c r="AV18" s="19">
        <f t="shared" si="7"/>
        <v>45.14245515300739</v>
      </c>
      <c r="AW18" s="19">
        <f t="shared" si="8"/>
        <v>49.637706647907144</v>
      </c>
      <c r="AX18" s="19">
        <f t="shared" si="9"/>
        <v>54.576151952163215</v>
      </c>
      <c r="AY18" s="19">
        <v>2</v>
      </c>
      <c r="AZ18" s="20">
        <v>6625.73</v>
      </c>
      <c r="BA18" s="20">
        <f>AZ18*0.04</f>
        <v>265.0292</v>
      </c>
      <c r="BB18" s="20"/>
      <c r="BC18" s="19">
        <f t="shared" si="10"/>
        <v>3404.868097080549</v>
      </c>
      <c r="BD18" s="19">
        <f t="shared" si="11"/>
        <v>3745.3042560675344</v>
      </c>
      <c r="BE18" s="19">
        <f t="shared" si="12"/>
        <v>4085.8670418571933</v>
      </c>
      <c r="BF18" s="19">
        <v>1</v>
      </c>
      <c r="BG18" s="20">
        <v>1077</v>
      </c>
      <c r="BH18" s="20">
        <f>BG18*0.15</f>
        <v>161.54999999999998</v>
      </c>
      <c r="BI18" s="20">
        <f>(1183-1077)*0.05</f>
        <v>5.3000000000000007</v>
      </c>
      <c r="BJ18" s="19">
        <f t="shared" si="13"/>
        <v>1182.6943369679916</v>
      </c>
      <c r="BK18" s="19">
        <f t="shared" si="14"/>
        <v>1272.2827998593036</v>
      </c>
      <c r="BL18" s="19">
        <f t="shared" si="15"/>
        <v>1399.4794231445658</v>
      </c>
      <c r="BM18" s="19">
        <v>1</v>
      </c>
      <c r="BN18" s="20">
        <v>7257.7</v>
      </c>
      <c r="BO18" s="20">
        <f>BN18*0.1</f>
        <v>725.77</v>
      </c>
      <c r="BP18" s="20"/>
      <c r="BQ18" s="19">
        <f t="shared" si="16"/>
        <v>6608.0830109039753</v>
      </c>
      <c r="BR18" s="19">
        <f t="shared" si="17"/>
        <v>7136.6865986633838</v>
      </c>
      <c r="BS18" s="19">
        <f t="shared" si="18"/>
        <v>7599.317622230039</v>
      </c>
      <c r="BT18" s="19">
        <v>1</v>
      </c>
      <c r="BU18" s="20">
        <v>10</v>
      </c>
      <c r="BV18" s="20">
        <v>2</v>
      </c>
      <c r="BW18" s="20">
        <v>24</v>
      </c>
      <c r="BX18" s="20">
        <v>2</v>
      </c>
      <c r="BY18" s="20">
        <v>6</v>
      </c>
      <c r="BZ18" s="20">
        <v>3</v>
      </c>
      <c r="CA18" s="20">
        <v>6</v>
      </c>
      <c r="CB18" s="20">
        <f t="shared" si="19"/>
        <v>15</v>
      </c>
      <c r="CC18" s="20">
        <f t="shared" si="20"/>
        <v>36</v>
      </c>
      <c r="CD18" s="20"/>
      <c r="CE18" s="19">
        <f t="shared" si="21"/>
        <v>13.802321491382344</v>
      </c>
      <c r="CF18" s="19">
        <f t="shared" si="22"/>
        <v>15.638410130144214</v>
      </c>
      <c r="CG18" s="19">
        <f t="shared" si="23"/>
        <v>17.9176925782624</v>
      </c>
      <c r="CH18" s="10">
        <v>1</v>
      </c>
      <c r="CI18" s="42">
        <f t="shared" si="24"/>
        <v>1998.3491999999999</v>
      </c>
      <c r="CJ18" s="43">
        <f t="shared" si="25"/>
        <v>5.3000000000000007</v>
      </c>
    </row>
    <row r="19" spans="1:88">
      <c r="A19" s="2">
        <v>19</v>
      </c>
      <c r="B19" s="4">
        <v>307</v>
      </c>
      <c r="C19" s="4" t="s">
        <v>14</v>
      </c>
      <c r="D19" s="5">
        <v>10890</v>
      </c>
      <c r="E19" s="5" t="s">
        <v>72</v>
      </c>
      <c r="F19" s="5">
        <v>0.7</v>
      </c>
      <c r="G19" s="8"/>
      <c r="H19" s="15">
        <v>3</v>
      </c>
      <c r="I19" s="15"/>
      <c r="J19" s="15">
        <v>0.5</v>
      </c>
      <c r="K19" s="15">
        <f>4.5*60</f>
        <v>270</v>
      </c>
      <c r="L19" s="15"/>
      <c r="M19" s="19">
        <f t="shared" si="0"/>
        <v>2.7576503693281742</v>
      </c>
      <c r="N19" s="19">
        <v>4</v>
      </c>
      <c r="O19" s="19">
        <v>5</v>
      </c>
      <c r="P19" s="19">
        <v>3</v>
      </c>
      <c r="Q19" s="20">
        <v>2</v>
      </c>
      <c r="R19" s="20"/>
      <c r="S19" s="20"/>
      <c r="T19" s="20"/>
      <c r="U19" s="20"/>
      <c r="V19" s="20"/>
      <c r="W19" s="20">
        <v>8</v>
      </c>
      <c r="X19" s="20"/>
      <c r="Y19" s="20">
        <v>1</v>
      </c>
      <c r="Z19" s="20"/>
      <c r="AA19" s="20">
        <v>663.38</v>
      </c>
      <c r="AB19" s="20">
        <f t="shared" si="2"/>
        <v>0</v>
      </c>
      <c r="AC19" s="20">
        <f>(1396-663)*0.05</f>
        <v>36.65</v>
      </c>
      <c r="AD19" s="19">
        <f t="shared" si="3"/>
        <v>1396.0604994723883</v>
      </c>
      <c r="AE19" s="19">
        <f t="shared" si="4"/>
        <v>1535.6665494196272</v>
      </c>
      <c r="AF19" s="19">
        <f t="shared" si="5"/>
        <v>1675.272599366866</v>
      </c>
      <c r="AG19" s="19">
        <v>1</v>
      </c>
      <c r="AH19" s="20">
        <v>23</v>
      </c>
      <c r="AI19" s="20">
        <v>4</v>
      </c>
      <c r="AJ19" s="20">
        <f>19*1.5</f>
        <v>28.5</v>
      </c>
      <c r="AK19" s="20">
        <v>12</v>
      </c>
      <c r="AL19" s="20">
        <f>12*2.5</f>
        <v>30</v>
      </c>
      <c r="AM19" s="20">
        <v>10</v>
      </c>
      <c r="AN19" s="20">
        <v>15</v>
      </c>
      <c r="AO19" s="20">
        <v>4</v>
      </c>
      <c r="AP19" s="20">
        <v>6</v>
      </c>
      <c r="AQ19" s="20">
        <v>4</v>
      </c>
      <c r="AR19" s="20">
        <v>4</v>
      </c>
      <c r="AS19" s="20">
        <v>53</v>
      </c>
      <c r="AT19" s="20">
        <f t="shared" si="6"/>
        <v>83.5</v>
      </c>
      <c r="AU19" s="20"/>
      <c r="AV19" s="19">
        <f t="shared" si="7"/>
        <v>35.110798452339075</v>
      </c>
      <c r="AW19" s="19">
        <f t="shared" si="8"/>
        <v>38.607105170594437</v>
      </c>
      <c r="AX19" s="19">
        <f t="shared" si="9"/>
        <v>42.448118185015829</v>
      </c>
      <c r="AY19" s="19">
        <v>1</v>
      </c>
      <c r="AZ19" s="20">
        <v>984.48</v>
      </c>
      <c r="BA19" s="20"/>
      <c r="BB19" s="20">
        <f>(2648-984)*0.04</f>
        <v>66.56</v>
      </c>
      <c r="BC19" s="19">
        <f t="shared" si="10"/>
        <v>2648.2307421737601</v>
      </c>
      <c r="BD19" s="19">
        <f t="shared" si="11"/>
        <v>2913.0144213858603</v>
      </c>
      <c r="BE19" s="19">
        <f t="shared" si="12"/>
        <v>3177.8965881111499</v>
      </c>
      <c r="BF19" s="19">
        <v>1</v>
      </c>
      <c r="BG19" s="20">
        <v>209</v>
      </c>
      <c r="BH19" s="20">
        <f>BG19*0.15</f>
        <v>31.349999999999998</v>
      </c>
      <c r="BI19" s="20">
        <f>(920-209)*0.05</f>
        <v>35.550000000000004</v>
      </c>
      <c r="BJ19" s="19">
        <f t="shared" si="13"/>
        <v>919.87337319732683</v>
      </c>
      <c r="BK19" s="19">
        <f t="shared" si="14"/>
        <v>989.55328877945828</v>
      </c>
      <c r="BL19" s="19">
        <f t="shared" si="15"/>
        <v>1088.4839957791066</v>
      </c>
      <c r="BM19" s="19">
        <v>3</v>
      </c>
      <c r="BN19" s="20">
        <v>7109.3</v>
      </c>
      <c r="BO19" s="20">
        <f>BN19*0.15</f>
        <v>1066.395</v>
      </c>
      <c r="BP19" s="20"/>
      <c r="BQ19" s="19">
        <f t="shared" si="16"/>
        <v>5139.6201195919803</v>
      </c>
      <c r="BR19" s="19">
        <f t="shared" si="17"/>
        <v>5550.7562434048541</v>
      </c>
      <c r="BS19" s="19">
        <f t="shared" si="18"/>
        <v>5910.5803728455849</v>
      </c>
      <c r="BT19" s="19">
        <v>3</v>
      </c>
      <c r="BU19" s="20">
        <v>12</v>
      </c>
      <c r="BV19" s="20">
        <v>3</v>
      </c>
      <c r="BW19" s="20">
        <v>27</v>
      </c>
      <c r="BX19" s="20">
        <v>1</v>
      </c>
      <c r="BY19" s="20">
        <v>3</v>
      </c>
      <c r="BZ19" s="20">
        <v>10</v>
      </c>
      <c r="CA19" s="20">
        <v>20</v>
      </c>
      <c r="CB19" s="20">
        <f t="shared" si="19"/>
        <v>23</v>
      </c>
      <c r="CC19" s="20">
        <f t="shared" si="20"/>
        <v>50</v>
      </c>
      <c r="CD19" s="20"/>
      <c r="CE19" s="19">
        <f t="shared" si="21"/>
        <v>10.735138937741821</v>
      </c>
      <c r="CF19" s="19">
        <f t="shared" si="22"/>
        <v>12.163207879001053</v>
      </c>
      <c r="CG19" s="19">
        <f t="shared" si="23"/>
        <v>13.935983116426311</v>
      </c>
      <c r="CH19" s="10">
        <v>1</v>
      </c>
      <c r="CI19" s="42">
        <f t="shared" si="24"/>
        <v>1501.2449999999999</v>
      </c>
      <c r="CJ19" s="43">
        <f t="shared" si="25"/>
        <v>138.76000000000002</v>
      </c>
    </row>
    <row r="20" spans="1:88">
      <c r="A20" s="2">
        <v>20</v>
      </c>
      <c r="B20" s="4">
        <v>307</v>
      </c>
      <c r="C20" s="4" t="s">
        <v>14</v>
      </c>
      <c r="D20" s="5">
        <v>10892</v>
      </c>
      <c r="E20" s="5" t="s">
        <v>73</v>
      </c>
      <c r="F20" s="5">
        <v>0.7</v>
      </c>
      <c r="G20" s="8"/>
      <c r="H20" s="15"/>
      <c r="I20" s="15"/>
      <c r="J20" s="15"/>
      <c r="K20" s="15"/>
      <c r="L20" s="15">
        <v>60</v>
      </c>
      <c r="M20" s="19">
        <f t="shared" si="0"/>
        <v>2.7576503693281742</v>
      </c>
      <c r="N20" s="19">
        <v>4</v>
      </c>
      <c r="O20" s="19">
        <v>5</v>
      </c>
      <c r="P20" s="19">
        <v>1</v>
      </c>
      <c r="Q20" s="20"/>
      <c r="R20" s="20"/>
      <c r="S20" s="20"/>
      <c r="T20" s="20"/>
      <c r="U20" s="20"/>
      <c r="V20" s="20"/>
      <c r="W20" s="20"/>
      <c r="X20" s="20"/>
      <c r="Y20" s="20">
        <v>2</v>
      </c>
      <c r="Z20" s="20"/>
      <c r="AA20" s="20">
        <v>67</v>
      </c>
      <c r="AB20" s="20">
        <f t="shared" si="2"/>
        <v>0</v>
      </c>
      <c r="AC20" s="20">
        <f>(1396-67)*0.05</f>
        <v>66.45</v>
      </c>
      <c r="AD20" s="19">
        <f t="shared" si="3"/>
        <v>1396.0604994723883</v>
      </c>
      <c r="AE20" s="19">
        <f t="shared" si="4"/>
        <v>1535.6665494196272</v>
      </c>
      <c r="AF20" s="19">
        <f t="shared" si="5"/>
        <v>1675.272599366866</v>
      </c>
      <c r="AG20" s="19">
        <v>1</v>
      </c>
      <c r="AH20" s="20">
        <v>17</v>
      </c>
      <c r="AI20" s="20">
        <v>3</v>
      </c>
      <c r="AJ20" s="20"/>
      <c r="AK20" s="20">
        <v>7</v>
      </c>
      <c r="AL20" s="20"/>
      <c r="AM20" s="20">
        <v>3</v>
      </c>
      <c r="AN20" s="20"/>
      <c r="AO20" s="20">
        <v>1</v>
      </c>
      <c r="AP20" s="20"/>
      <c r="AQ20" s="20">
        <v>4</v>
      </c>
      <c r="AR20" s="20"/>
      <c r="AS20" s="20">
        <v>32</v>
      </c>
      <c r="AT20" s="20">
        <f t="shared" si="6"/>
        <v>0</v>
      </c>
      <c r="AU20" s="20">
        <v>4.5</v>
      </c>
      <c r="AV20" s="19">
        <f t="shared" si="7"/>
        <v>35.110798452339075</v>
      </c>
      <c r="AW20" s="19">
        <f t="shared" si="8"/>
        <v>38.607105170594437</v>
      </c>
      <c r="AX20" s="19">
        <f t="shared" si="9"/>
        <v>42.448118185015829</v>
      </c>
      <c r="AY20" s="19">
        <v>1</v>
      </c>
      <c r="AZ20" s="20">
        <v>601.77</v>
      </c>
      <c r="BA20" s="20"/>
      <c r="BB20" s="20">
        <f>(2648-AZ20)*0.04</f>
        <v>81.849199999999996</v>
      </c>
      <c r="BC20" s="19">
        <f t="shared" si="10"/>
        <v>2648.2307421737601</v>
      </c>
      <c r="BD20" s="19">
        <f t="shared" si="11"/>
        <v>2913.0144213858603</v>
      </c>
      <c r="BE20" s="19">
        <f t="shared" si="12"/>
        <v>3177.8965881111499</v>
      </c>
      <c r="BF20" s="19">
        <v>1</v>
      </c>
      <c r="BG20" s="20">
        <v>364.5</v>
      </c>
      <c r="BH20" s="20">
        <f>BG20*0.15</f>
        <v>54.674999999999997</v>
      </c>
      <c r="BI20" s="20">
        <f>(920-365)*0.05</f>
        <v>27.75</v>
      </c>
      <c r="BJ20" s="19">
        <f t="shared" si="13"/>
        <v>919.87337319732683</v>
      </c>
      <c r="BK20" s="19">
        <f t="shared" si="14"/>
        <v>989.55328877945828</v>
      </c>
      <c r="BL20" s="19">
        <f t="shared" si="15"/>
        <v>1088.4839957791066</v>
      </c>
      <c r="BM20" s="19">
        <v>1</v>
      </c>
      <c r="BN20" s="20">
        <v>1121.95</v>
      </c>
      <c r="BO20" s="20">
        <f>BN20*0.1</f>
        <v>112.19500000000001</v>
      </c>
      <c r="BP20" s="20">
        <f>(5140-1122)*0.05</f>
        <v>200.9</v>
      </c>
      <c r="BQ20" s="19">
        <f t="shared" si="16"/>
        <v>5139.6201195919803</v>
      </c>
      <c r="BR20" s="19">
        <f t="shared" si="17"/>
        <v>5550.7562434048541</v>
      </c>
      <c r="BS20" s="19">
        <f t="shared" si="18"/>
        <v>5910.5803728455849</v>
      </c>
      <c r="BT20" s="19">
        <v>1</v>
      </c>
      <c r="BU20" s="20"/>
      <c r="BV20" s="20"/>
      <c r="BW20" s="20"/>
      <c r="BX20" s="20">
        <v>1</v>
      </c>
      <c r="BY20" s="20"/>
      <c r="BZ20" s="20">
        <v>5</v>
      </c>
      <c r="CA20" s="20"/>
      <c r="CB20" s="20">
        <f t="shared" si="19"/>
        <v>6</v>
      </c>
      <c r="CC20" s="20">
        <f t="shared" si="20"/>
        <v>0</v>
      </c>
      <c r="CD20" s="20">
        <f>5*2</f>
        <v>10</v>
      </c>
      <c r="CE20" s="19">
        <f t="shared" si="21"/>
        <v>10.735138937741821</v>
      </c>
      <c r="CF20" s="19">
        <f t="shared" si="22"/>
        <v>12.163207879001053</v>
      </c>
      <c r="CG20" s="19">
        <f t="shared" si="23"/>
        <v>13.935983116426311</v>
      </c>
      <c r="CH20" s="10">
        <v>2</v>
      </c>
      <c r="CI20" s="42">
        <f t="shared" si="24"/>
        <v>166.87</v>
      </c>
      <c r="CJ20" s="43">
        <f t="shared" si="25"/>
        <v>451.44920000000002</v>
      </c>
    </row>
    <row r="21" spans="1:88">
      <c r="A21" s="2">
        <v>21</v>
      </c>
      <c r="B21" s="4">
        <v>307</v>
      </c>
      <c r="C21" s="4" t="s">
        <v>14</v>
      </c>
      <c r="D21" s="5">
        <v>990280</v>
      </c>
      <c r="E21" s="5" t="s">
        <v>74</v>
      </c>
      <c r="F21" s="5">
        <v>0.36</v>
      </c>
      <c r="G21" s="8"/>
      <c r="H21" s="15"/>
      <c r="I21" s="15"/>
      <c r="J21" s="15"/>
      <c r="K21" s="15"/>
      <c r="L21" s="15"/>
      <c r="M21" s="19">
        <f t="shared" si="0"/>
        <v>1.418220189940204</v>
      </c>
      <c r="N21" s="19">
        <f t="shared" si="1"/>
        <v>1.5701723531480831</v>
      </c>
      <c r="O21" s="19">
        <f t="shared" si="26"/>
        <v>1.722124516355962</v>
      </c>
      <c r="P21" s="19">
        <v>1</v>
      </c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>
        <f t="shared" si="2"/>
        <v>0</v>
      </c>
      <c r="AC21" s="20"/>
      <c r="AD21" s="19">
        <f t="shared" si="3"/>
        <v>717.97397115722833</v>
      </c>
      <c r="AE21" s="19">
        <f t="shared" si="4"/>
        <v>789.77136827295112</v>
      </c>
      <c r="AF21" s="19">
        <f t="shared" si="5"/>
        <v>861.56876538867391</v>
      </c>
      <c r="AG21" s="19">
        <v>1</v>
      </c>
      <c r="AH21" s="20"/>
      <c r="AI21" s="20"/>
      <c r="AJ21" s="20"/>
      <c r="AK21" s="20">
        <v>3</v>
      </c>
      <c r="AL21" s="20"/>
      <c r="AM21" s="20">
        <v>1</v>
      </c>
      <c r="AN21" s="20"/>
      <c r="AO21" s="20">
        <v>1</v>
      </c>
      <c r="AP21" s="20"/>
      <c r="AQ21" s="20">
        <v>2</v>
      </c>
      <c r="AR21" s="20"/>
      <c r="AS21" s="20">
        <v>7</v>
      </c>
      <c r="AT21" s="20">
        <f t="shared" si="6"/>
        <v>0</v>
      </c>
      <c r="AU21" s="20"/>
      <c r="AV21" s="19">
        <f t="shared" si="7"/>
        <v>18.056982061202955</v>
      </c>
      <c r="AW21" s="19">
        <f t="shared" si="8"/>
        <v>19.855082659162857</v>
      </c>
      <c r="AX21" s="19">
        <f t="shared" si="9"/>
        <v>21.830460780865284</v>
      </c>
      <c r="AY21" s="19">
        <v>1</v>
      </c>
      <c r="AZ21" s="20"/>
      <c r="BA21" s="20"/>
      <c r="BB21" s="20"/>
      <c r="BC21" s="19">
        <f t="shared" si="10"/>
        <v>1361.9472388322195</v>
      </c>
      <c r="BD21" s="19">
        <f t="shared" si="11"/>
        <v>1498.1217024270136</v>
      </c>
      <c r="BE21" s="19">
        <f t="shared" si="12"/>
        <v>1634.3468167428771</v>
      </c>
      <c r="BF21" s="19">
        <v>1</v>
      </c>
      <c r="BG21" s="20"/>
      <c r="BH21" s="20"/>
      <c r="BI21" s="20"/>
      <c r="BJ21" s="19">
        <f t="shared" si="13"/>
        <v>473.07773478719662</v>
      </c>
      <c r="BK21" s="19">
        <f t="shared" si="14"/>
        <v>508.91311994372143</v>
      </c>
      <c r="BL21" s="19">
        <f t="shared" si="15"/>
        <v>559.79176925782622</v>
      </c>
      <c r="BM21" s="19">
        <v>1</v>
      </c>
      <c r="BN21" s="20"/>
      <c r="BO21" s="20"/>
      <c r="BP21" s="20"/>
      <c r="BQ21" s="19">
        <f t="shared" si="16"/>
        <v>2643.2332043615897</v>
      </c>
      <c r="BR21" s="19">
        <f t="shared" si="17"/>
        <v>2854.6746394653533</v>
      </c>
      <c r="BS21" s="19">
        <f t="shared" si="18"/>
        <v>3039.7270488920158</v>
      </c>
      <c r="BT21" s="19">
        <v>1</v>
      </c>
      <c r="BU21" s="20"/>
      <c r="BV21" s="20"/>
      <c r="BW21" s="20"/>
      <c r="BX21" s="20"/>
      <c r="BY21" s="20"/>
      <c r="BZ21" s="20"/>
      <c r="CA21" s="20"/>
      <c r="CB21" s="20">
        <f t="shared" si="19"/>
        <v>0</v>
      </c>
      <c r="CC21" s="20">
        <f t="shared" si="20"/>
        <v>0</v>
      </c>
      <c r="CD21" s="20"/>
      <c r="CE21" s="19">
        <f t="shared" si="21"/>
        <v>5.5209285965529373</v>
      </c>
      <c r="CF21" s="19">
        <f t="shared" si="22"/>
        <v>6.2553640520576854</v>
      </c>
      <c r="CG21" s="19">
        <f t="shared" si="23"/>
        <v>7.1670770313049594</v>
      </c>
      <c r="CH21" s="10">
        <v>2</v>
      </c>
      <c r="CI21" s="42">
        <f t="shared" si="24"/>
        <v>0</v>
      </c>
      <c r="CJ21" s="43">
        <f t="shared" si="25"/>
        <v>0</v>
      </c>
    </row>
    <row r="22" spans="1:88">
      <c r="A22" s="2">
        <v>22</v>
      </c>
      <c r="B22" s="4">
        <v>307</v>
      </c>
      <c r="C22" s="4" t="s">
        <v>14</v>
      </c>
      <c r="D22" s="5">
        <v>4529</v>
      </c>
      <c r="E22" s="5" t="s">
        <v>75</v>
      </c>
      <c r="F22" s="5">
        <v>0.18</v>
      </c>
      <c r="G22" s="8"/>
      <c r="H22" s="15">
        <v>2</v>
      </c>
      <c r="I22" s="15"/>
      <c r="J22" s="15"/>
      <c r="K22" s="15">
        <v>120</v>
      </c>
      <c r="L22" s="15"/>
      <c r="M22" s="19">
        <f t="shared" si="0"/>
        <v>0.70911009497010202</v>
      </c>
      <c r="N22" s="19">
        <f t="shared" si="1"/>
        <v>0.78508617657404156</v>
      </c>
      <c r="O22" s="19">
        <f t="shared" si="26"/>
        <v>0.86106225817798099</v>
      </c>
      <c r="P22" s="19">
        <v>3</v>
      </c>
      <c r="Q22" s="20">
        <v>6</v>
      </c>
      <c r="R22" s="20">
        <v>4.5</v>
      </c>
      <c r="S22" s="20">
        <v>7</v>
      </c>
      <c r="T22" s="20"/>
      <c r="U22" s="20"/>
      <c r="V22" s="20"/>
      <c r="W22" s="20"/>
      <c r="X22" s="20"/>
      <c r="Y22" s="20"/>
      <c r="Z22" s="20"/>
      <c r="AA22" s="20">
        <v>418</v>
      </c>
      <c r="AB22" s="20">
        <f t="shared" si="2"/>
        <v>7</v>
      </c>
      <c r="AC22" s="20"/>
      <c r="AD22" s="19">
        <f t="shared" si="3"/>
        <v>358.98698557861417</v>
      </c>
      <c r="AE22" s="19">
        <f t="shared" si="4"/>
        <v>394.88568413647556</v>
      </c>
      <c r="AF22" s="19">
        <f t="shared" si="5"/>
        <v>430.78438269433695</v>
      </c>
      <c r="AG22" s="19">
        <v>1</v>
      </c>
      <c r="AH22" s="20">
        <v>1</v>
      </c>
      <c r="AI22" s="20">
        <v>1</v>
      </c>
      <c r="AJ22" s="20"/>
      <c r="AK22" s="20">
        <v>1</v>
      </c>
      <c r="AL22" s="20">
        <v>2.5</v>
      </c>
      <c r="AM22" s="20"/>
      <c r="AN22" s="20"/>
      <c r="AO22" s="20">
        <v>1</v>
      </c>
      <c r="AP22" s="20">
        <v>1.5</v>
      </c>
      <c r="AQ22" s="20"/>
      <c r="AR22" s="20"/>
      <c r="AS22" s="20">
        <v>3</v>
      </c>
      <c r="AT22" s="20">
        <f t="shared" si="6"/>
        <v>4</v>
      </c>
      <c r="AU22" s="20"/>
      <c r="AV22" s="19">
        <f t="shared" si="7"/>
        <v>9.0284910306014776</v>
      </c>
      <c r="AW22" s="19">
        <f t="shared" si="8"/>
        <v>9.9275413295814285</v>
      </c>
      <c r="AX22" s="19">
        <f t="shared" si="9"/>
        <v>10.915230390432642</v>
      </c>
      <c r="AY22" s="19">
        <v>1</v>
      </c>
      <c r="AZ22" s="20">
        <v>1081.21</v>
      </c>
      <c r="BA22" s="20">
        <f>AZ22*0.04</f>
        <v>43.248400000000004</v>
      </c>
      <c r="BB22" s="20"/>
      <c r="BC22" s="19">
        <f t="shared" si="10"/>
        <v>680.97361941610973</v>
      </c>
      <c r="BD22" s="19">
        <f t="shared" si="11"/>
        <v>749.06085121350679</v>
      </c>
      <c r="BE22" s="19">
        <f t="shared" si="12"/>
        <v>817.17340837143854</v>
      </c>
      <c r="BF22" s="19">
        <v>1</v>
      </c>
      <c r="BG22" s="20"/>
      <c r="BH22" s="20"/>
      <c r="BI22" s="20"/>
      <c r="BJ22" s="19">
        <f t="shared" si="13"/>
        <v>236.53886739359831</v>
      </c>
      <c r="BK22" s="19">
        <f t="shared" si="14"/>
        <v>254.45655997186071</v>
      </c>
      <c r="BL22" s="19">
        <f t="shared" si="15"/>
        <v>279.89588462891311</v>
      </c>
      <c r="BM22" s="19">
        <v>1</v>
      </c>
      <c r="BN22" s="20">
        <v>216</v>
      </c>
      <c r="BO22" s="20">
        <f>BN22*0.1</f>
        <v>21.6</v>
      </c>
      <c r="BP22" s="20"/>
      <c r="BQ22" s="19">
        <f t="shared" si="16"/>
        <v>1321.6166021807949</v>
      </c>
      <c r="BR22" s="19">
        <f t="shared" si="17"/>
        <v>1427.3373197326766</v>
      </c>
      <c r="BS22" s="19">
        <f t="shared" si="18"/>
        <v>1519.8635244460079</v>
      </c>
      <c r="BT22" s="19">
        <v>1</v>
      </c>
      <c r="BU22" s="20"/>
      <c r="BV22" s="20"/>
      <c r="BW22" s="20"/>
      <c r="BX22" s="20"/>
      <c r="BY22" s="20"/>
      <c r="BZ22" s="20"/>
      <c r="CA22" s="20"/>
      <c r="CB22" s="20">
        <f t="shared" si="19"/>
        <v>0</v>
      </c>
      <c r="CC22" s="20">
        <f t="shared" si="20"/>
        <v>0</v>
      </c>
      <c r="CD22" s="20"/>
      <c r="CE22" s="19">
        <f t="shared" si="21"/>
        <v>2.7604642982764687</v>
      </c>
      <c r="CF22" s="19">
        <f t="shared" si="22"/>
        <v>3.1276820260288427</v>
      </c>
      <c r="CG22" s="19">
        <f t="shared" si="23"/>
        <v>3.5835385156524797</v>
      </c>
      <c r="CH22" s="10">
        <v>2</v>
      </c>
      <c r="CI22" s="42">
        <f t="shared" si="24"/>
        <v>195.8484</v>
      </c>
      <c r="CJ22" s="43">
        <f t="shared" si="25"/>
        <v>0</v>
      </c>
    </row>
    <row r="23" spans="1:88">
      <c r="A23" s="2">
        <v>23</v>
      </c>
      <c r="B23" s="4">
        <v>307</v>
      </c>
      <c r="C23" s="4" t="s">
        <v>14</v>
      </c>
      <c r="D23" s="5">
        <v>4746</v>
      </c>
      <c r="E23" s="5" t="s">
        <v>76</v>
      </c>
      <c r="F23" s="5">
        <v>0.18</v>
      </c>
      <c r="G23" s="8"/>
      <c r="H23" s="15"/>
      <c r="I23" s="15"/>
      <c r="J23" s="15"/>
      <c r="K23" s="15"/>
      <c r="L23" s="15"/>
      <c r="M23" s="19">
        <f t="shared" si="0"/>
        <v>0.70911009497010202</v>
      </c>
      <c r="N23" s="19">
        <f t="shared" si="1"/>
        <v>0.78508617657404156</v>
      </c>
      <c r="O23" s="19">
        <f t="shared" si="26"/>
        <v>0.86106225817798099</v>
      </c>
      <c r="P23" s="19">
        <v>3</v>
      </c>
      <c r="Q23" s="20">
        <v>4</v>
      </c>
      <c r="R23" s="20">
        <v>1</v>
      </c>
      <c r="S23" s="20"/>
      <c r="T23" s="20"/>
      <c r="U23" s="20"/>
      <c r="V23" s="20"/>
      <c r="W23" s="20"/>
      <c r="X23" s="20"/>
      <c r="Y23" s="20"/>
      <c r="Z23" s="20"/>
      <c r="AA23" s="20">
        <v>294</v>
      </c>
      <c r="AB23" s="20">
        <f t="shared" si="2"/>
        <v>0</v>
      </c>
      <c r="AC23" s="20"/>
      <c r="AD23" s="19">
        <f t="shared" si="3"/>
        <v>358.98698557861417</v>
      </c>
      <c r="AE23" s="19">
        <f t="shared" si="4"/>
        <v>394.88568413647556</v>
      </c>
      <c r="AF23" s="19">
        <f t="shared" si="5"/>
        <v>430.78438269433695</v>
      </c>
      <c r="AG23" s="19">
        <v>1</v>
      </c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>
        <f t="shared" si="6"/>
        <v>0</v>
      </c>
      <c r="AU23" s="20"/>
      <c r="AV23" s="19">
        <f t="shared" si="7"/>
        <v>9.0284910306014776</v>
      </c>
      <c r="AW23" s="19">
        <f t="shared" si="8"/>
        <v>9.9275413295814285</v>
      </c>
      <c r="AX23" s="19">
        <f t="shared" si="9"/>
        <v>10.915230390432642</v>
      </c>
      <c r="AY23" s="19">
        <v>1</v>
      </c>
      <c r="AZ23" s="20"/>
      <c r="BA23" s="20"/>
      <c r="BB23" s="20"/>
      <c r="BC23" s="19">
        <f t="shared" si="10"/>
        <v>680.97361941610973</v>
      </c>
      <c r="BD23" s="19">
        <f t="shared" si="11"/>
        <v>749.06085121350679</v>
      </c>
      <c r="BE23" s="19">
        <f t="shared" si="12"/>
        <v>817.17340837143854</v>
      </c>
      <c r="BF23" s="19">
        <v>1</v>
      </c>
      <c r="BG23" s="20"/>
      <c r="BH23" s="20"/>
      <c r="BI23" s="20"/>
      <c r="BJ23" s="19">
        <f t="shared" si="13"/>
        <v>236.53886739359831</v>
      </c>
      <c r="BK23" s="19">
        <f t="shared" si="14"/>
        <v>254.45655997186071</v>
      </c>
      <c r="BL23" s="19">
        <f t="shared" si="15"/>
        <v>279.89588462891311</v>
      </c>
      <c r="BM23" s="19">
        <v>1</v>
      </c>
      <c r="BN23" s="20"/>
      <c r="BO23" s="20"/>
      <c r="BP23" s="20"/>
      <c r="BQ23" s="19">
        <f t="shared" si="16"/>
        <v>1321.6166021807949</v>
      </c>
      <c r="BR23" s="19">
        <f t="shared" si="17"/>
        <v>1427.3373197326766</v>
      </c>
      <c r="BS23" s="19">
        <f t="shared" si="18"/>
        <v>1519.8635244460079</v>
      </c>
      <c r="BT23" s="19">
        <v>1</v>
      </c>
      <c r="BU23" s="20"/>
      <c r="BV23" s="20"/>
      <c r="BW23" s="20"/>
      <c r="BX23" s="20"/>
      <c r="BY23" s="20"/>
      <c r="BZ23" s="20"/>
      <c r="CA23" s="20"/>
      <c r="CB23" s="20">
        <f t="shared" si="19"/>
        <v>0</v>
      </c>
      <c r="CC23" s="20">
        <f t="shared" si="20"/>
        <v>0</v>
      </c>
      <c r="CD23" s="20"/>
      <c r="CE23" s="19">
        <f t="shared" si="21"/>
        <v>2.7604642982764687</v>
      </c>
      <c r="CF23" s="19">
        <f t="shared" si="22"/>
        <v>3.1276820260288427</v>
      </c>
      <c r="CG23" s="19">
        <f t="shared" si="23"/>
        <v>3.5835385156524797</v>
      </c>
      <c r="CH23" s="10">
        <v>2</v>
      </c>
      <c r="CI23" s="42">
        <f t="shared" si="24"/>
        <v>0</v>
      </c>
      <c r="CJ23" s="43">
        <f t="shared" si="25"/>
        <v>0</v>
      </c>
    </row>
    <row r="24" spans="1:88">
      <c r="A24" s="2">
        <v>24</v>
      </c>
      <c r="B24" s="4">
        <v>307</v>
      </c>
      <c r="C24" s="4" t="s">
        <v>14</v>
      </c>
      <c r="D24" s="5">
        <v>8592</v>
      </c>
      <c r="E24" s="5" t="s">
        <v>77</v>
      </c>
      <c r="F24" s="5">
        <v>0.03</v>
      </c>
      <c r="G24" s="5" t="s">
        <v>78</v>
      </c>
      <c r="H24" s="13">
        <v>0.24</v>
      </c>
      <c r="I24" s="13"/>
      <c r="J24" s="13"/>
      <c r="K24" s="13">
        <f>H24*60</f>
        <v>14.399999999999999</v>
      </c>
      <c r="L24" s="13"/>
      <c r="M24" s="19">
        <f t="shared" si="0"/>
        <v>0.11818501582835034</v>
      </c>
      <c r="N24" s="19">
        <f t="shared" si="1"/>
        <v>0.13084769609567357</v>
      </c>
      <c r="O24" s="19">
        <f t="shared" si="26"/>
        <v>0.14351037636299685</v>
      </c>
      <c r="P24" s="19">
        <v>3</v>
      </c>
      <c r="Q24" s="20">
        <v>4</v>
      </c>
      <c r="R24" s="20">
        <v>1</v>
      </c>
      <c r="S24" s="20">
        <v>21</v>
      </c>
      <c r="T24" s="20"/>
      <c r="U24" s="20"/>
      <c r="V24" s="20"/>
      <c r="W24" s="20"/>
      <c r="X24" s="20"/>
      <c r="Y24" s="20"/>
      <c r="Z24" s="20"/>
      <c r="AA24" s="20">
        <v>294</v>
      </c>
      <c r="AB24" s="20">
        <f t="shared" si="2"/>
        <v>21</v>
      </c>
      <c r="AC24" s="20"/>
      <c r="AD24" s="19">
        <f t="shared" si="3"/>
        <v>59.831164263102359</v>
      </c>
      <c r="AE24" s="19">
        <f t="shared" si="4"/>
        <v>65.814280689412584</v>
      </c>
      <c r="AF24" s="19">
        <f t="shared" si="5"/>
        <v>71.797397115722816</v>
      </c>
      <c r="AG24" s="19">
        <v>1</v>
      </c>
      <c r="AH24" s="20"/>
      <c r="AI24" s="20"/>
      <c r="AJ24" s="20"/>
      <c r="AK24" s="20">
        <v>1</v>
      </c>
      <c r="AL24" s="20"/>
      <c r="AM24" s="20"/>
      <c r="AN24" s="20"/>
      <c r="AO24" s="20"/>
      <c r="AP24" s="20"/>
      <c r="AQ24" s="20"/>
      <c r="AR24" s="20"/>
      <c r="AS24" s="20">
        <v>1</v>
      </c>
      <c r="AT24" s="20">
        <f t="shared" si="6"/>
        <v>0</v>
      </c>
      <c r="AU24" s="20">
        <v>1.5</v>
      </c>
      <c r="AV24" s="19">
        <f t="shared" si="7"/>
        <v>1.5047485051002463</v>
      </c>
      <c r="AW24" s="19">
        <v>3</v>
      </c>
      <c r="AX24" s="19">
        <v>4</v>
      </c>
      <c r="AY24" s="19">
        <v>3</v>
      </c>
      <c r="AZ24" s="20">
        <v>64</v>
      </c>
      <c r="BA24" s="20"/>
      <c r="BB24" s="20">
        <f>(113-64)*0.04</f>
        <v>1.96</v>
      </c>
      <c r="BC24" s="19">
        <f t="shared" si="10"/>
        <v>113.49560323601828</v>
      </c>
      <c r="BD24" s="19">
        <f t="shared" si="11"/>
        <v>124.84347520225114</v>
      </c>
      <c r="BE24" s="19">
        <f t="shared" si="12"/>
        <v>136.19556806190644</v>
      </c>
      <c r="BF24" s="19">
        <v>3</v>
      </c>
      <c r="BG24" s="20">
        <v>48</v>
      </c>
      <c r="BH24" s="20">
        <f>BG24*0.25</f>
        <v>12</v>
      </c>
      <c r="BI24" s="20"/>
      <c r="BJ24" s="19">
        <f t="shared" si="13"/>
        <v>39.423144565599721</v>
      </c>
      <c r="BK24" s="19">
        <f t="shared" si="14"/>
        <v>42.409426661976788</v>
      </c>
      <c r="BL24" s="19">
        <f t="shared" si="15"/>
        <v>46.649314104818856</v>
      </c>
      <c r="BM24" s="19">
        <v>3</v>
      </c>
      <c r="BN24" s="20">
        <v>228</v>
      </c>
      <c r="BO24" s="20">
        <f>BN24*0.1</f>
        <v>22.8</v>
      </c>
      <c r="BP24" s="20"/>
      <c r="BQ24" s="19">
        <f t="shared" si="16"/>
        <v>220.26943369679915</v>
      </c>
      <c r="BR24" s="19">
        <f t="shared" si="17"/>
        <v>237.88955328877947</v>
      </c>
      <c r="BS24" s="19">
        <f t="shared" si="18"/>
        <v>253.31058740766795</v>
      </c>
      <c r="BT24" s="19">
        <v>3</v>
      </c>
      <c r="BU24" s="20"/>
      <c r="BV24" s="20"/>
      <c r="BW24" s="20"/>
      <c r="BX24" s="20"/>
      <c r="BY24" s="20"/>
      <c r="BZ24" s="20"/>
      <c r="CA24" s="20"/>
      <c r="CB24" s="20">
        <f t="shared" si="19"/>
        <v>0</v>
      </c>
      <c r="CC24" s="20">
        <f t="shared" si="20"/>
        <v>0</v>
      </c>
      <c r="CD24" s="20"/>
      <c r="CE24" s="19">
        <f t="shared" si="21"/>
        <v>0.46007738304607809</v>
      </c>
      <c r="CF24" s="19">
        <f t="shared" si="22"/>
        <v>0.52128033767147386</v>
      </c>
      <c r="CG24" s="19">
        <v>2</v>
      </c>
      <c r="CH24" s="10">
        <v>3</v>
      </c>
      <c r="CI24" s="42">
        <f t="shared" si="24"/>
        <v>70.2</v>
      </c>
      <c r="CJ24" s="43">
        <f t="shared" si="25"/>
        <v>3.46</v>
      </c>
    </row>
    <row r="25" spans="1:88">
      <c r="A25" s="2">
        <v>25</v>
      </c>
      <c r="B25" s="4">
        <v>307</v>
      </c>
      <c r="C25" s="4" t="s">
        <v>14</v>
      </c>
      <c r="D25" s="5">
        <v>8022</v>
      </c>
      <c r="E25" s="5" t="s">
        <v>79</v>
      </c>
      <c r="F25" s="5">
        <v>0.03</v>
      </c>
      <c r="G25" s="5" t="s">
        <v>78</v>
      </c>
      <c r="H25" s="13"/>
      <c r="I25" s="13"/>
      <c r="J25" s="13"/>
      <c r="K25" s="13"/>
      <c r="L25" s="13"/>
      <c r="M25" s="19">
        <f t="shared" si="0"/>
        <v>0.11818501582835034</v>
      </c>
      <c r="N25" s="19">
        <f t="shared" si="1"/>
        <v>0.13084769609567357</v>
      </c>
      <c r="O25" s="19">
        <f t="shared" si="26"/>
        <v>0.14351037636299685</v>
      </c>
      <c r="P25" s="19">
        <v>3</v>
      </c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>
        <f t="shared" si="2"/>
        <v>0</v>
      </c>
      <c r="AC25" s="20"/>
      <c r="AD25" s="19">
        <f t="shared" si="3"/>
        <v>59.831164263102359</v>
      </c>
      <c r="AE25" s="19">
        <f t="shared" si="4"/>
        <v>65.814280689412584</v>
      </c>
      <c r="AF25" s="19">
        <f t="shared" si="5"/>
        <v>71.797397115722816</v>
      </c>
      <c r="AG25" s="19">
        <v>1</v>
      </c>
      <c r="AH25" s="20"/>
      <c r="AI25" s="20"/>
      <c r="AJ25" s="20"/>
      <c r="AK25" s="20"/>
      <c r="AL25" s="20"/>
      <c r="AM25" s="20"/>
      <c r="AN25" s="20"/>
      <c r="AO25" s="20"/>
      <c r="AP25" s="20"/>
      <c r="AQ25" s="20">
        <v>1</v>
      </c>
      <c r="AR25" s="20"/>
      <c r="AS25" s="20">
        <v>1</v>
      </c>
      <c r="AT25" s="20">
        <f t="shared" si="6"/>
        <v>0</v>
      </c>
      <c r="AU25" s="20">
        <v>1.5</v>
      </c>
      <c r="AV25" s="19">
        <f t="shared" si="7"/>
        <v>1.5047485051002463</v>
      </c>
      <c r="AW25" s="19">
        <v>3</v>
      </c>
      <c r="AX25" s="19">
        <v>4</v>
      </c>
      <c r="AY25" s="19">
        <v>3</v>
      </c>
      <c r="AZ25" s="20"/>
      <c r="BA25" s="20"/>
      <c r="BB25" s="20">
        <f>113*0.04</f>
        <v>4.5200000000000005</v>
      </c>
      <c r="BC25" s="19">
        <f t="shared" si="10"/>
        <v>113.49560323601828</v>
      </c>
      <c r="BD25" s="19">
        <f t="shared" si="11"/>
        <v>124.84347520225114</v>
      </c>
      <c r="BE25" s="19">
        <f t="shared" si="12"/>
        <v>136.19556806190644</v>
      </c>
      <c r="BF25" s="19">
        <v>3</v>
      </c>
      <c r="BG25" s="20"/>
      <c r="BH25" s="20"/>
      <c r="BI25" s="20">
        <f>39*0.05</f>
        <v>1.9500000000000002</v>
      </c>
      <c r="BJ25" s="19">
        <f t="shared" si="13"/>
        <v>39.423144565599721</v>
      </c>
      <c r="BK25" s="19">
        <f t="shared" si="14"/>
        <v>42.409426661976788</v>
      </c>
      <c r="BL25" s="19">
        <f t="shared" si="15"/>
        <v>46.649314104818856</v>
      </c>
      <c r="BM25" s="19">
        <v>3</v>
      </c>
      <c r="BN25" s="20"/>
      <c r="BO25" s="20"/>
      <c r="BP25" s="20">
        <f>220*0.05</f>
        <v>11</v>
      </c>
      <c r="BQ25" s="19">
        <f t="shared" si="16"/>
        <v>220.26943369679915</v>
      </c>
      <c r="BR25" s="19">
        <f t="shared" si="17"/>
        <v>237.88955328877947</v>
      </c>
      <c r="BS25" s="19">
        <f t="shared" si="18"/>
        <v>253.31058740766795</v>
      </c>
      <c r="BT25" s="19">
        <v>3</v>
      </c>
      <c r="BU25" s="20"/>
      <c r="BV25" s="20"/>
      <c r="BW25" s="20"/>
      <c r="BX25" s="20"/>
      <c r="BY25" s="20"/>
      <c r="BZ25" s="20"/>
      <c r="CA25" s="20"/>
      <c r="CB25" s="20">
        <f t="shared" si="19"/>
        <v>0</v>
      </c>
      <c r="CC25" s="20">
        <f t="shared" si="20"/>
        <v>0</v>
      </c>
      <c r="CD25" s="20"/>
      <c r="CE25" s="19">
        <f t="shared" si="21"/>
        <v>0.46007738304607809</v>
      </c>
      <c r="CF25" s="19">
        <f t="shared" si="22"/>
        <v>0.52128033767147386</v>
      </c>
      <c r="CG25" s="19">
        <v>2</v>
      </c>
      <c r="CH25" s="10">
        <v>3</v>
      </c>
      <c r="CI25" s="42">
        <f t="shared" si="24"/>
        <v>0</v>
      </c>
      <c r="CJ25" s="43">
        <f t="shared" si="25"/>
        <v>18.97</v>
      </c>
    </row>
    <row r="26" spans="1:88">
      <c r="A26" s="2">
        <v>26</v>
      </c>
      <c r="B26" s="4">
        <v>307</v>
      </c>
      <c r="C26" s="4" t="s">
        <v>14</v>
      </c>
      <c r="D26" s="5">
        <v>4449</v>
      </c>
      <c r="E26" s="5" t="s">
        <v>80</v>
      </c>
      <c r="F26" s="5">
        <v>0.03</v>
      </c>
      <c r="G26" s="5" t="s">
        <v>78</v>
      </c>
      <c r="H26" s="13">
        <v>0.16</v>
      </c>
      <c r="I26" s="13"/>
      <c r="J26" s="13"/>
      <c r="K26" s="13">
        <f>H26*60</f>
        <v>9.6</v>
      </c>
      <c r="L26" s="13"/>
      <c r="M26" s="19">
        <f t="shared" si="0"/>
        <v>0.11818501582835034</v>
      </c>
      <c r="N26" s="19">
        <f t="shared" si="1"/>
        <v>0.13084769609567357</v>
      </c>
      <c r="O26" s="19">
        <f t="shared" si="26"/>
        <v>0.14351037636299685</v>
      </c>
      <c r="P26" s="19">
        <v>3</v>
      </c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>
        <f t="shared" si="2"/>
        <v>0</v>
      </c>
      <c r="AC26" s="20"/>
      <c r="AD26" s="19">
        <f t="shared" si="3"/>
        <v>59.831164263102359</v>
      </c>
      <c r="AE26" s="19">
        <f t="shared" si="4"/>
        <v>65.814280689412584</v>
      </c>
      <c r="AF26" s="19">
        <f t="shared" si="5"/>
        <v>71.797397115722816</v>
      </c>
      <c r="AG26" s="19">
        <v>1</v>
      </c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>
        <f t="shared" si="6"/>
        <v>0</v>
      </c>
      <c r="AU26" s="20">
        <v>3</v>
      </c>
      <c r="AV26" s="19">
        <f t="shared" si="7"/>
        <v>1.5047485051002463</v>
      </c>
      <c r="AW26" s="19">
        <v>3</v>
      </c>
      <c r="AX26" s="19">
        <v>4</v>
      </c>
      <c r="AY26" s="19">
        <v>3</v>
      </c>
      <c r="AZ26" s="20">
        <v>444.58</v>
      </c>
      <c r="BA26" s="20">
        <f>AZ26*0.09</f>
        <v>40.0122</v>
      </c>
      <c r="BB26" s="20"/>
      <c r="BC26" s="19">
        <f t="shared" si="10"/>
        <v>113.49560323601828</v>
      </c>
      <c r="BD26" s="19">
        <f t="shared" si="11"/>
        <v>124.84347520225114</v>
      </c>
      <c r="BE26" s="19">
        <f t="shared" si="12"/>
        <v>136.19556806190644</v>
      </c>
      <c r="BF26" s="19">
        <v>3</v>
      </c>
      <c r="BG26" s="20"/>
      <c r="BH26" s="20"/>
      <c r="BI26" s="20">
        <f t="shared" ref="BI26:BI27" si="27">39*0.05</f>
        <v>1.9500000000000002</v>
      </c>
      <c r="BJ26" s="19">
        <f t="shared" si="13"/>
        <v>39.423144565599721</v>
      </c>
      <c r="BK26" s="19">
        <f t="shared" si="14"/>
        <v>42.409426661976788</v>
      </c>
      <c r="BL26" s="19">
        <f t="shared" si="15"/>
        <v>46.649314104818856</v>
      </c>
      <c r="BM26" s="19">
        <v>3</v>
      </c>
      <c r="BN26" s="20">
        <v>168</v>
      </c>
      <c r="BO26" s="20">
        <f>BN26*0.1</f>
        <v>16.8</v>
      </c>
      <c r="BP26" s="20">
        <f>(220-168)*0.05</f>
        <v>2.6</v>
      </c>
      <c r="BQ26" s="19">
        <f t="shared" si="16"/>
        <v>220.26943369679915</v>
      </c>
      <c r="BR26" s="19">
        <f t="shared" si="17"/>
        <v>237.88955328877947</v>
      </c>
      <c r="BS26" s="19">
        <f t="shared" si="18"/>
        <v>253.31058740766795</v>
      </c>
      <c r="BT26" s="19">
        <v>3</v>
      </c>
      <c r="BU26" s="20"/>
      <c r="BV26" s="20"/>
      <c r="BW26" s="20"/>
      <c r="BX26" s="20"/>
      <c r="BY26" s="20"/>
      <c r="BZ26" s="20"/>
      <c r="CA26" s="20"/>
      <c r="CB26" s="20">
        <f t="shared" si="19"/>
        <v>0</v>
      </c>
      <c r="CC26" s="20">
        <f t="shared" si="20"/>
        <v>0</v>
      </c>
      <c r="CD26" s="20"/>
      <c r="CE26" s="19">
        <f t="shared" si="21"/>
        <v>0.46007738304607809</v>
      </c>
      <c r="CF26" s="19">
        <f t="shared" si="22"/>
        <v>0.52128033767147386</v>
      </c>
      <c r="CG26" s="19">
        <v>2</v>
      </c>
      <c r="CH26" s="10">
        <v>3</v>
      </c>
      <c r="CI26" s="42">
        <f t="shared" si="24"/>
        <v>66.412199999999999</v>
      </c>
      <c r="CJ26" s="43">
        <f t="shared" si="25"/>
        <v>7.5500000000000007</v>
      </c>
    </row>
    <row r="27" spans="1:88">
      <c r="A27" s="2">
        <v>27</v>
      </c>
      <c r="B27" s="4">
        <v>307</v>
      </c>
      <c r="C27" s="4" t="s">
        <v>14</v>
      </c>
      <c r="D27" s="5">
        <v>4292</v>
      </c>
      <c r="E27" s="5" t="s">
        <v>81</v>
      </c>
      <c r="F27" s="5">
        <v>0.03</v>
      </c>
      <c r="G27" s="5" t="s">
        <v>78</v>
      </c>
      <c r="H27" s="13">
        <v>0.12920000000000001</v>
      </c>
      <c r="I27" s="13"/>
      <c r="J27" s="13"/>
      <c r="K27" s="13">
        <f>H27*60</f>
        <v>7.7520000000000007</v>
      </c>
      <c r="L27" s="13"/>
      <c r="M27" s="19">
        <f t="shared" si="0"/>
        <v>0.11818501582835034</v>
      </c>
      <c r="N27" s="19">
        <f t="shared" si="1"/>
        <v>0.13084769609567357</v>
      </c>
      <c r="O27" s="19">
        <f t="shared" si="26"/>
        <v>0.14351037636299685</v>
      </c>
      <c r="P27" s="19">
        <v>3</v>
      </c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>
        <f t="shared" si="2"/>
        <v>0</v>
      </c>
      <c r="AC27" s="20"/>
      <c r="AD27" s="19">
        <f t="shared" si="3"/>
        <v>59.831164263102359</v>
      </c>
      <c r="AE27" s="19">
        <f t="shared" si="4"/>
        <v>65.814280689412584</v>
      </c>
      <c r="AF27" s="19">
        <f t="shared" si="5"/>
        <v>71.797397115722816</v>
      </c>
      <c r="AG27" s="19">
        <v>1</v>
      </c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>
        <f t="shared" si="6"/>
        <v>0</v>
      </c>
      <c r="AU27" s="20">
        <v>3</v>
      </c>
      <c r="AV27" s="19">
        <f t="shared" si="7"/>
        <v>1.5047485051002463</v>
      </c>
      <c r="AW27" s="19">
        <v>3</v>
      </c>
      <c r="AX27" s="19">
        <v>4</v>
      </c>
      <c r="AY27" s="19">
        <v>3</v>
      </c>
      <c r="AZ27" s="20">
        <v>570.77</v>
      </c>
      <c r="BA27" s="20">
        <f>AZ27*0.09</f>
        <v>51.369299999999996</v>
      </c>
      <c r="BB27" s="20"/>
      <c r="BC27" s="19">
        <f t="shared" si="10"/>
        <v>113.49560323601828</v>
      </c>
      <c r="BD27" s="19">
        <f t="shared" si="11"/>
        <v>124.84347520225114</v>
      </c>
      <c r="BE27" s="19">
        <f t="shared" si="12"/>
        <v>136.19556806190644</v>
      </c>
      <c r="BF27" s="19">
        <v>3</v>
      </c>
      <c r="BG27" s="20"/>
      <c r="BH27" s="20"/>
      <c r="BI27" s="20">
        <f t="shared" si="27"/>
        <v>1.9500000000000002</v>
      </c>
      <c r="BJ27" s="19">
        <f t="shared" si="13"/>
        <v>39.423144565599721</v>
      </c>
      <c r="BK27" s="19">
        <f t="shared" si="14"/>
        <v>42.409426661976788</v>
      </c>
      <c r="BL27" s="19">
        <f t="shared" si="15"/>
        <v>46.649314104818856</v>
      </c>
      <c r="BM27" s="19">
        <v>3</v>
      </c>
      <c r="BN27" s="20"/>
      <c r="BO27" s="20"/>
      <c r="BP27" s="20">
        <f>220*0.05</f>
        <v>11</v>
      </c>
      <c r="BQ27" s="19">
        <f t="shared" si="16"/>
        <v>220.26943369679915</v>
      </c>
      <c r="BR27" s="19">
        <f t="shared" si="17"/>
        <v>237.88955328877947</v>
      </c>
      <c r="BS27" s="19">
        <f t="shared" si="18"/>
        <v>253.31058740766795</v>
      </c>
      <c r="BT27" s="19">
        <v>3</v>
      </c>
      <c r="BU27" s="20"/>
      <c r="BV27" s="20"/>
      <c r="BW27" s="20"/>
      <c r="BX27" s="20"/>
      <c r="BY27" s="20"/>
      <c r="BZ27" s="20"/>
      <c r="CA27" s="20"/>
      <c r="CB27" s="20">
        <f t="shared" si="19"/>
        <v>0</v>
      </c>
      <c r="CC27" s="20">
        <f t="shared" si="20"/>
        <v>0</v>
      </c>
      <c r="CD27" s="20"/>
      <c r="CE27" s="19">
        <f t="shared" si="21"/>
        <v>0.46007738304607809</v>
      </c>
      <c r="CF27" s="19">
        <f t="shared" si="22"/>
        <v>0.52128033767147386</v>
      </c>
      <c r="CG27" s="19">
        <v>2</v>
      </c>
      <c r="CH27" s="10">
        <v>3</v>
      </c>
      <c r="CI27" s="42">
        <f t="shared" si="24"/>
        <v>59.121299999999998</v>
      </c>
      <c r="CJ27" s="43">
        <f t="shared" si="25"/>
        <v>15.95</v>
      </c>
    </row>
    <row r="28" spans="1:88">
      <c r="A28" s="2">
        <v>28</v>
      </c>
      <c r="B28" s="4">
        <v>307</v>
      </c>
      <c r="C28" s="4" t="s">
        <v>14</v>
      </c>
      <c r="D28" s="5">
        <v>4291</v>
      </c>
      <c r="E28" s="5" t="s">
        <v>82</v>
      </c>
      <c r="F28" s="5">
        <v>0.03</v>
      </c>
      <c r="G28" s="5" t="s">
        <v>78</v>
      </c>
      <c r="H28" s="13">
        <v>0.24</v>
      </c>
      <c r="I28" s="13"/>
      <c r="J28" s="13"/>
      <c r="K28" s="13">
        <f>H28*60</f>
        <v>14.399999999999999</v>
      </c>
      <c r="L28" s="13"/>
      <c r="M28" s="19">
        <f t="shared" si="0"/>
        <v>0.11818501582835034</v>
      </c>
      <c r="N28" s="19">
        <f t="shared" si="1"/>
        <v>0.13084769609567357</v>
      </c>
      <c r="O28" s="19">
        <f t="shared" si="26"/>
        <v>0.14351037636299685</v>
      </c>
      <c r="P28" s="19">
        <v>3</v>
      </c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>
        <f t="shared" si="2"/>
        <v>0</v>
      </c>
      <c r="AC28" s="20"/>
      <c r="AD28" s="19">
        <f t="shared" si="3"/>
        <v>59.831164263102359</v>
      </c>
      <c r="AE28" s="19">
        <f t="shared" si="4"/>
        <v>65.814280689412584</v>
      </c>
      <c r="AF28" s="19">
        <f t="shared" si="5"/>
        <v>71.797397115722816</v>
      </c>
      <c r="AG28" s="19">
        <v>1</v>
      </c>
      <c r="AH28" s="20"/>
      <c r="AI28" s="20"/>
      <c r="AJ28" s="20"/>
      <c r="AK28" s="20">
        <v>1</v>
      </c>
      <c r="AL28" s="20"/>
      <c r="AM28" s="20"/>
      <c r="AN28" s="20"/>
      <c r="AO28" s="20"/>
      <c r="AP28" s="20"/>
      <c r="AQ28" s="20"/>
      <c r="AR28" s="20"/>
      <c r="AS28" s="20">
        <v>1</v>
      </c>
      <c r="AT28" s="20">
        <f t="shared" si="6"/>
        <v>0</v>
      </c>
      <c r="AU28" s="20">
        <v>1.5</v>
      </c>
      <c r="AV28" s="19">
        <f t="shared" si="7"/>
        <v>1.5047485051002463</v>
      </c>
      <c r="AW28" s="19">
        <v>3</v>
      </c>
      <c r="AX28" s="19">
        <v>4</v>
      </c>
      <c r="AY28" s="19">
        <v>3</v>
      </c>
      <c r="AZ28" s="20">
        <v>235.5</v>
      </c>
      <c r="BA28" s="20">
        <f>AZ28*0.09</f>
        <v>21.195</v>
      </c>
      <c r="BB28" s="20"/>
      <c r="BC28" s="19">
        <f t="shared" si="10"/>
        <v>113.49560323601828</v>
      </c>
      <c r="BD28" s="19">
        <f t="shared" si="11"/>
        <v>124.84347520225114</v>
      </c>
      <c r="BE28" s="19">
        <f t="shared" si="12"/>
        <v>136.19556806190644</v>
      </c>
      <c r="BF28" s="19">
        <v>3</v>
      </c>
      <c r="BG28" s="20">
        <v>32</v>
      </c>
      <c r="BH28" s="20">
        <f>BG28*0.15</f>
        <v>4.8</v>
      </c>
      <c r="BI28" s="20">
        <f>7*0.05</f>
        <v>0.35000000000000003</v>
      </c>
      <c r="BJ28" s="19">
        <f t="shared" si="13"/>
        <v>39.423144565599721</v>
      </c>
      <c r="BK28" s="19">
        <f t="shared" si="14"/>
        <v>42.409426661976788</v>
      </c>
      <c r="BL28" s="19">
        <f t="shared" si="15"/>
        <v>46.649314104818856</v>
      </c>
      <c r="BM28" s="19">
        <v>3</v>
      </c>
      <c r="BN28" s="20">
        <v>466.81</v>
      </c>
      <c r="BO28" s="20">
        <f>BN28*0.15</f>
        <v>70.021500000000003</v>
      </c>
      <c r="BP28" s="20"/>
      <c r="BQ28" s="19">
        <f t="shared" si="16"/>
        <v>220.26943369679915</v>
      </c>
      <c r="BR28" s="19">
        <f t="shared" si="17"/>
        <v>237.88955328877947</v>
      </c>
      <c r="BS28" s="19">
        <f t="shared" si="18"/>
        <v>253.31058740766795</v>
      </c>
      <c r="BT28" s="19">
        <v>3</v>
      </c>
      <c r="BU28" s="20">
        <v>4</v>
      </c>
      <c r="BV28" s="20">
        <v>1</v>
      </c>
      <c r="BW28" s="20">
        <v>15</v>
      </c>
      <c r="BX28" s="20"/>
      <c r="BY28" s="20"/>
      <c r="BZ28" s="20"/>
      <c r="CA28" s="20"/>
      <c r="CB28" s="20">
        <f t="shared" si="19"/>
        <v>4</v>
      </c>
      <c r="CC28" s="20">
        <f t="shared" si="20"/>
        <v>15</v>
      </c>
      <c r="CD28" s="20"/>
      <c r="CE28" s="19">
        <f t="shared" si="21"/>
        <v>0.46007738304607809</v>
      </c>
      <c r="CF28" s="19">
        <f t="shared" si="22"/>
        <v>0.52128033767147386</v>
      </c>
      <c r="CG28" s="19">
        <v>2</v>
      </c>
      <c r="CH28" s="10">
        <v>3</v>
      </c>
      <c r="CI28" s="42">
        <f t="shared" si="24"/>
        <v>125.4165</v>
      </c>
      <c r="CJ28" s="43">
        <f t="shared" si="25"/>
        <v>1.85</v>
      </c>
    </row>
    <row r="29" spans="1:88">
      <c r="A29" s="2">
        <v>29</v>
      </c>
      <c r="B29" s="4">
        <v>307</v>
      </c>
      <c r="C29" s="4" t="s">
        <v>14</v>
      </c>
      <c r="D29" s="5">
        <v>991617</v>
      </c>
      <c r="E29" s="5" t="s">
        <v>83</v>
      </c>
      <c r="F29" s="5">
        <v>0.03</v>
      </c>
      <c r="G29" s="5" t="s">
        <v>78</v>
      </c>
      <c r="H29" s="13"/>
      <c r="I29" s="13"/>
      <c r="J29" s="13"/>
      <c r="K29" s="13"/>
      <c r="L29" s="13"/>
      <c r="M29" s="19">
        <f t="shared" si="0"/>
        <v>0.11818501582835034</v>
      </c>
      <c r="N29" s="19">
        <f t="shared" si="1"/>
        <v>0.13084769609567357</v>
      </c>
      <c r="O29" s="19">
        <f t="shared" si="26"/>
        <v>0.14351037636299685</v>
      </c>
      <c r="P29" s="19">
        <v>3</v>
      </c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>
        <f t="shared" si="2"/>
        <v>0</v>
      </c>
      <c r="AC29" s="20"/>
      <c r="AD29" s="19">
        <f t="shared" si="3"/>
        <v>59.831164263102359</v>
      </c>
      <c r="AE29" s="19">
        <f t="shared" si="4"/>
        <v>65.814280689412584</v>
      </c>
      <c r="AF29" s="19">
        <f t="shared" si="5"/>
        <v>71.797397115722816</v>
      </c>
      <c r="AG29" s="19">
        <v>1</v>
      </c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>
        <f t="shared" si="6"/>
        <v>0</v>
      </c>
      <c r="AU29" s="20">
        <v>3</v>
      </c>
      <c r="AV29" s="19">
        <f t="shared" si="7"/>
        <v>1.5047485051002463</v>
      </c>
      <c r="AW29" s="19">
        <v>3</v>
      </c>
      <c r="AX29" s="19">
        <v>4</v>
      </c>
      <c r="AY29" s="19">
        <v>3</v>
      </c>
      <c r="AZ29" s="20"/>
      <c r="BA29" s="20"/>
      <c r="BB29" s="20"/>
      <c r="BC29" s="19">
        <f t="shared" si="10"/>
        <v>113.49560323601828</v>
      </c>
      <c r="BD29" s="19">
        <f t="shared" si="11"/>
        <v>124.84347520225114</v>
      </c>
      <c r="BE29" s="19">
        <f t="shared" si="12"/>
        <v>136.19556806190644</v>
      </c>
      <c r="BF29" s="19">
        <v>3</v>
      </c>
      <c r="BG29" s="20"/>
      <c r="BH29" s="20"/>
      <c r="BI29" s="20">
        <v>2</v>
      </c>
      <c r="BJ29" s="19">
        <f t="shared" si="13"/>
        <v>39.423144565599721</v>
      </c>
      <c r="BK29" s="19">
        <f t="shared" si="14"/>
        <v>42.409426661976788</v>
      </c>
      <c r="BL29" s="19">
        <f t="shared" si="15"/>
        <v>46.649314104818856</v>
      </c>
      <c r="BM29" s="19">
        <v>3</v>
      </c>
      <c r="BN29" s="20"/>
      <c r="BO29" s="20"/>
      <c r="BP29" s="20"/>
      <c r="BQ29" s="19">
        <f t="shared" si="16"/>
        <v>220.26943369679915</v>
      </c>
      <c r="BR29" s="19">
        <f t="shared" si="17"/>
        <v>237.88955328877947</v>
      </c>
      <c r="BS29" s="19">
        <f t="shared" si="18"/>
        <v>253.31058740766795</v>
      </c>
      <c r="BT29" s="19">
        <v>3</v>
      </c>
      <c r="BU29" s="20"/>
      <c r="BV29" s="20"/>
      <c r="BW29" s="20"/>
      <c r="BX29" s="20"/>
      <c r="BY29" s="20"/>
      <c r="BZ29" s="20"/>
      <c r="CA29" s="20"/>
      <c r="CB29" s="20">
        <f t="shared" si="19"/>
        <v>0</v>
      </c>
      <c r="CC29" s="20">
        <f t="shared" si="20"/>
        <v>0</v>
      </c>
      <c r="CD29" s="20"/>
      <c r="CE29" s="19">
        <f t="shared" si="21"/>
        <v>0.46007738304607809</v>
      </c>
      <c r="CF29" s="19">
        <f t="shared" si="22"/>
        <v>0.52128033767147386</v>
      </c>
      <c r="CG29" s="19">
        <v>2</v>
      </c>
      <c r="CH29" s="10">
        <v>3</v>
      </c>
      <c r="CI29" s="42">
        <f t="shared" si="24"/>
        <v>0</v>
      </c>
      <c r="CJ29" s="43">
        <f t="shared" si="25"/>
        <v>5</v>
      </c>
    </row>
    <row r="30" spans="1:88">
      <c r="A30" s="2">
        <v>30</v>
      </c>
      <c r="B30" s="4">
        <v>307</v>
      </c>
      <c r="C30" s="4" t="s">
        <v>14</v>
      </c>
      <c r="D30" s="5">
        <v>9190</v>
      </c>
      <c r="E30" s="5" t="s">
        <v>84</v>
      </c>
      <c r="F30" s="5">
        <v>0.03</v>
      </c>
      <c r="G30" s="5" t="s">
        <v>78</v>
      </c>
      <c r="H30" s="13"/>
      <c r="I30" s="13"/>
      <c r="J30" s="13"/>
      <c r="K30" s="13"/>
      <c r="L30" s="13"/>
      <c r="M30" s="19">
        <f t="shared" si="0"/>
        <v>0.11818501582835034</v>
      </c>
      <c r="N30" s="19">
        <f t="shared" si="1"/>
        <v>0.13084769609567357</v>
      </c>
      <c r="O30" s="19">
        <f t="shared" si="26"/>
        <v>0.14351037636299685</v>
      </c>
      <c r="P30" s="19">
        <v>3</v>
      </c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>
        <f t="shared" si="2"/>
        <v>0</v>
      </c>
      <c r="AC30" s="20"/>
      <c r="AD30" s="19">
        <f t="shared" si="3"/>
        <v>59.831164263102359</v>
      </c>
      <c r="AE30" s="19">
        <f t="shared" si="4"/>
        <v>65.814280689412584</v>
      </c>
      <c r="AF30" s="19">
        <f t="shared" si="5"/>
        <v>71.797397115722816</v>
      </c>
      <c r="AG30" s="19">
        <v>1</v>
      </c>
      <c r="AH30" s="20">
        <v>1</v>
      </c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>
        <v>1</v>
      </c>
      <c r="AT30" s="20">
        <f t="shared" si="6"/>
        <v>0</v>
      </c>
      <c r="AU30" s="20">
        <v>1.5</v>
      </c>
      <c r="AV30" s="19">
        <f t="shared" si="7"/>
        <v>1.5047485051002463</v>
      </c>
      <c r="AW30" s="19">
        <v>3</v>
      </c>
      <c r="AX30" s="19">
        <v>4</v>
      </c>
      <c r="AY30" s="19">
        <v>3</v>
      </c>
      <c r="AZ30" s="20">
        <v>345.72</v>
      </c>
      <c r="BA30" s="20">
        <f>AZ30*0.09</f>
        <v>31.114800000000002</v>
      </c>
      <c r="BB30" s="20"/>
      <c r="BC30" s="19">
        <f t="shared" si="10"/>
        <v>113.49560323601828</v>
      </c>
      <c r="BD30" s="19">
        <f t="shared" si="11"/>
        <v>124.84347520225114</v>
      </c>
      <c r="BE30" s="19">
        <f t="shared" si="12"/>
        <v>136.19556806190644</v>
      </c>
      <c r="BF30" s="19">
        <v>3</v>
      </c>
      <c r="BG30" s="20"/>
      <c r="BH30" s="20"/>
      <c r="BI30" s="20">
        <v>2</v>
      </c>
      <c r="BJ30" s="19">
        <f t="shared" si="13"/>
        <v>39.423144565599721</v>
      </c>
      <c r="BK30" s="19">
        <f t="shared" si="14"/>
        <v>42.409426661976788</v>
      </c>
      <c r="BL30" s="19">
        <f t="shared" si="15"/>
        <v>46.649314104818856</v>
      </c>
      <c r="BM30" s="19">
        <v>3</v>
      </c>
      <c r="BN30" s="20">
        <v>108.8</v>
      </c>
      <c r="BO30" s="20">
        <f>BN30*0.1</f>
        <v>10.88</v>
      </c>
      <c r="BP30" s="20">
        <f>(220-109)*0.05</f>
        <v>5.5500000000000007</v>
      </c>
      <c r="BQ30" s="19">
        <f t="shared" si="16"/>
        <v>220.26943369679915</v>
      </c>
      <c r="BR30" s="19">
        <f t="shared" si="17"/>
        <v>237.88955328877947</v>
      </c>
      <c r="BS30" s="19">
        <f t="shared" si="18"/>
        <v>253.31058740766795</v>
      </c>
      <c r="BT30" s="19">
        <v>3</v>
      </c>
      <c r="BU30" s="20"/>
      <c r="BV30" s="20"/>
      <c r="BW30" s="20"/>
      <c r="BX30" s="20"/>
      <c r="BY30" s="20"/>
      <c r="BZ30" s="20"/>
      <c r="CA30" s="20"/>
      <c r="CB30" s="20">
        <f t="shared" si="19"/>
        <v>0</v>
      </c>
      <c r="CC30" s="20">
        <f t="shared" si="20"/>
        <v>0</v>
      </c>
      <c r="CD30" s="20"/>
      <c r="CE30" s="19">
        <f t="shared" si="21"/>
        <v>0.46007738304607809</v>
      </c>
      <c r="CF30" s="19">
        <f t="shared" si="22"/>
        <v>0.52128033767147386</v>
      </c>
      <c r="CG30" s="19">
        <v>2</v>
      </c>
      <c r="CH30" s="10">
        <v>3</v>
      </c>
      <c r="CI30" s="42">
        <f t="shared" si="24"/>
        <v>41.994800000000005</v>
      </c>
      <c r="CJ30" s="43">
        <f t="shared" si="25"/>
        <v>9.0500000000000007</v>
      </c>
    </row>
    <row r="31" spans="1:88">
      <c r="A31" s="2">
        <v>31</v>
      </c>
      <c r="B31" s="4">
        <v>307</v>
      </c>
      <c r="C31" s="4" t="s">
        <v>14</v>
      </c>
      <c r="D31" s="5">
        <v>10891</v>
      </c>
      <c r="E31" s="5" t="s">
        <v>85</v>
      </c>
      <c r="F31" s="5">
        <v>0.03</v>
      </c>
      <c r="G31" s="8" t="s">
        <v>78</v>
      </c>
      <c r="H31" s="15"/>
      <c r="I31" s="15"/>
      <c r="J31" s="15"/>
      <c r="K31" s="15"/>
      <c r="L31" s="15"/>
      <c r="M31" s="19">
        <f t="shared" si="0"/>
        <v>0.11818501582835034</v>
      </c>
      <c r="N31" s="19">
        <f t="shared" si="1"/>
        <v>0.13084769609567357</v>
      </c>
      <c r="O31" s="19">
        <f t="shared" si="26"/>
        <v>0.14351037636299685</v>
      </c>
      <c r="P31" s="19">
        <v>3</v>
      </c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>
        <f t="shared" si="2"/>
        <v>0</v>
      </c>
      <c r="AC31" s="20"/>
      <c r="AD31" s="19">
        <f t="shared" si="3"/>
        <v>59.831164263102359</v>
      </c>
      <c r="AE31" s="19">
        <f t="shared" si="4"/>
        <v>65.814280689412584</v>
      </c>
      <c r="AF31" s="19">
        <f t="shared" si="5"/>
        <v>71.797397115722816</v>
      </c>
      <c r="AG31" s="19">
        <v>1</v>
      </c>
      <c r="AH31" s="20">
        <v>2</v>
      </c>
      <c r="AI31" s="20">
        <v>1</v>
      </c>
      <c r="AJ31" s="20"/>
      <c r="AK31" s="20"/>
      <c r="AL31" s="20"/>
      <c r="AM31" s="20"/>
      <c r="AN31" s="20"/>
      <c r="AO31" s="20"/>
      <c r="AP31" s="20"/>
      <c r="AQ31" s="20"/>
      <c r="AR31" s="20"/>
      <c r="AS31" s="20">
        <v>2</v>
      </c>
      <c r="AT31" s="20">
        <f t="shared" si="6"/>
        <v>0</v>
      </c>
      <c r="AU31" s="20"/>
      <c r="AV31" s="19">
        <f t="shared" si="7"/>
        <v>1.5047485051002463</v>
      </c>
      <c r="AW31" s="19">
        <v>3</v>
      </c>
      <c r="AX31" s="19">
        <v>4</v>
      </c>
      <c r="AY31" s="19">
        <v>3</v>
      </c>
      <c r="AZ31" s="20"/>
      <c r="BA31" s="20"/>
      <c r="BB31" s="20">
        <f>113*0.04</f>
        <v>4.5200000000000005</v>
      </c>
      <c r="BC31" s="19">
        <f t="shared" si="10"/>
        <v>113.49560323601828</v>
      </c>
      <c r="BD31" s="19">
        <f t="shared" si="11"/>
        <v>124.84347520225114</v>
      </c>
      <c r="BE31" s="19">
        <f t="shared" si="12"/>
        <v>136.19556806190644</v>
      </c>
      <c r="BF31" s="19">
        <v>1</v>
      </c>
      <c r="BG31" s="20">
        <v>46.5</v>
      </c>
      <c r="BH31" s="20">
        <f>BG31*0.25</f>
        <v>11.625</v>
      </c>
      <c r="BI31" s="20"/>
      <c r="BJ31" s="19">
        <f t="shared" si="13"/>
        <v>39.423144565599721</v>
      </c>
      <c r="BK31" s="19">
        <f t="shared" si="14"/>
        <v>42.409426661976788</v>
      </c>
      <c r="BL31" s="19">
        <f t="shared" si="15"/>
        <v>46.649314104818856</v>
      </c>
      <c r="BM31" s="19">
        <v>3</v>
      </c>
      <c r="BN31" s="20"/>
      <c r="BO31" s="20"/>
      <c r="BP31" s="20">
        <v>11</v>
      </c>
      <c r="BQ31" s="19">
        <f t="shared" si="16"/>
        <v>220.26943369679915</v>
      </c>
      <c r="BR31" s="19">
        <f t="shared" si="17"/>
        <v>237.88955328877947</v>
      </c>
      <c r="BS31" s="19">
        <f t="shared" si="18"/>
        <v>253.31058740766795</v>
      </c>
      <c r="BT31" s="19">
        <v>3</v>
      </c>
      <c r="BU31" s="20"/>
      <c r="BV31" s="20"/>
      <c r="BW31" s="20"/>
      <c r="BX31" s="20"/>
      <c r="BY31" s="20"/>
      <c r="BZ31" s="20"/>
      <c r="CA31" s="20"/>
      <c r="CB31" s="20">
        <f t="shared" si="19"/>
        <v>0</v>
      </c>
      <c r="CC31" s="20">
        <f t="shared" si="20"/>
        <v>0</v>
      </c>
      <c r="CD31" s="20"/>
      <c r="CE31" s="19">
        <f t="shared" si="21"/>
        <v>0.46007738304607809</v>
      </c>
      <c r="CF31" s="19">
        <f t="shared" si="22"/>
        <v>0.52128033767147386</v>
      </c>
      <c r="CG31" s="19">
        <v>2</v>
      </c>
      <c r="CH31" s="10">
        <v>3</v>
      </c>
      <c r="CI31" s="42">
        <f t="shared" si="24"/>
        <v>11.625</v>
      </c>
      <c r="CJ31" s="43">
        <f t="shared" si="25"/>
        <v>15.52</v>
      </c>
    </row>
    <row r="32" spans="1:88">
      <c r="A32" s="2">
        <v>32</v>
      </c>
      <c r="B32" s="4">
        <v>307</v>
      </c>
      <c r="C32" s="4" t="s">
        <v>14</v>
      </c>
      <c r="D32" s="5">
        <v>10902</v>
      </c>
      <c r="E32" s="5" t="s">
        <v>86</v>
      </c>
      <c r="F32" s="5">
        <v>0.03</v>
      </c>
      <c r="G32" s="8" t="s">
        <v>78</v>
      </c>
      <c r="H32" s="15"/>
      <c r="I32" s="15"/>
      <c r="J32" s="15"/>
      <c r="K32" s="15"/>
      <c r="L32" s="15"/>
      <c r="M32" s="19">
        <f t="shared" si="0"/>
        <v>0.11818501582835034</v>
      </c>
      <c r="N32" s="19">
        <f t="shared" si="1"/>
        <v>0.13084769609567357</v>
      </c>
      <c r="O32" s="19">
        <f t="shared" si="26"/>
        <v>0.14351037636299685</v>
      </c>
      <c r="P32" s="19">
        <v>3</v>
      </c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>
        <f t="shared" si="2"/>
        <v>0</v>
      </c>
      <c r="AC32" s="20"/>
      <c r="AD32" s="19">
        <f t="shared" si="3"/>
        <v>59.831164263102359</v>
      </c>
      <c r="AE32" s="19">
        <f t="shared" si="4"/>
        <v>65.814280689412584</v>
      </c>
      <c r="AF32" s="19">
        <f t="shared" si="5"/>
        <v>71.797397115722816</v>
      </c>
      <c r="AG32" s="19">
        <v>1</v>
      </c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>
        <f t="shared" si="6"/>
        <v>0</v>
      </c>
      <c r="AU32" s="20">
        <v>3</v>
      </c>
      <c r="AV32" s="19">
        <f t="shared" si="7"/>
        <v>1.5047485051002463</v>
      </c>
      <c r="AW32" s="19">
        <v>3</v>
      </c>
      <c r="AX32" s="19">
        <v>4</v>
      </c>
      <c r="AY32" s="19">
        <v>1</v>
      </c>
      <c r="AZ32" s="20"/>
      <c r="BA32" s="20"/>
      <c r="BB32" s="20">
        <v>5</v>
      </c>
      <c r="BC32" s="19">
        <f t="shared" si="10"/>
        <v>113.49560323601828</v>
      </c>
      <c r="BD32" s="19">
        <f t="shared" si="11"/>
        <v>124.84347520225114</v>
      </c>
      <c r="BE32" s="19">
        <f t="shared" si="12"/>
        <v>136.19556806190644</v>
      </c>
      <c r="BF32" s="19">
        <v>1</v>
      </c>
      <c r="BG32" s="20"/>
      <c r="BH32" s="20"/>
      <c r="BI32" s="20"/>
      <c r="BJ32" s="19">
        <f t="shared" si="13"/>
        <v>39.423144565599721</v>
      </c>
      <c r="BK32" s="19">
        <f t="shared" si="14"/>
        <v>42.409426661976788</v>
      </c>
      <c r="BL32" s="19">
        <f t="shared" si="15"/>
        <v>46.649314104818856</v>
      </c>
      <c r="BM32" s="19">
        <v>3</v>
      </c>
      <c r="BN32" s="20"/>
      <c r="BO32" s="20"/>
      <c r="BP32" s="20">
        <v>11</v>
      </c>
      <c r="BQ32" s="19">
        <f t="shared" si="16"/>
        <v>220.26943369679915</v>
      </c>
      <c r="BR32" s="19">
        <f t="shared" si="17"/>
        <v>237.88955328877947</v>
      </c>
      <c r="BS32" s="19">
        <f t="shared" si="18"/>
        <v>253.31058740766795</v>
      </c>
      <c r="BT32" s="19">
        <v>3</v>
      </c>
      <c r="BU32" s="20"/>
      <c r="BV32" s="20"/>
      <c r="BW32" s="20"/>
      <c r="BX32" s="20"/>
      <c r="BY32" s="20"/>
      <c r="BZ32" s="20"/>
      <c r="CA32" s="20"/>
      <c r="CB32" s="20">
        <f t="shared" si="19"/>
        <v>0</v>
      </c>
      <c r="CC32" s="20">
        <f t="shared" si="20"/>
        <v>0</v>
      </c>
      <c r="CD32" s="20"/>
      <c r="CE32" s="19">
        <f t="shared" si="21"/>
        <v>0.46007738304607809</v>
      </c>
      <c r="CF32" s="19">
        <f t="shared" si="22"/>
        <v>0.52128033767147386</v>
      </c>
      <c r="CG32" s="19">
        <v>2</v>
      </c>
      <c r="CH32" s="10">
        <v>3</v>
      </c>
      <c r="CI32" s="42">
        <f t="shared" si="24"/>
        <v>0</v>
      </c>
      <c r="CJ32" s="43">
        <f t="shared" si="25"/>
        <v>19</v>
      </c>
    </row>
    <row r="33" spans="1:88">
      <c r="A33" s="9" t="s">
        <v>87</v>
      </c>
      <c r="B33" s="9"/>
      <c r="C33" s="9"/>
      <c r="D33" s="9"/>
      <c r="E33" s="9"/>
      <c r="F33" s="9">
        <f>SUM(F3:F32)</f>
        <v>14.214999999999996</v>
      </c>
      <c r="G33" s="9"/>
      <c r="H33" s="16"/>
      <c r="I33" s="16"/>
      <c r="J33" s="16"/>
      <c r="K33" s="16"/>
      <c r="L33" s="16"/>
      <c r="M33" s="19">
        <f>SUM(M3:M32)</f>
        <v>56.000000000000036</v>
      </c>
      <c r="N33" s="19">
        <f>SUM(N3:N32)</f>
        <v>67.702778754836416</v>
      </c>
      <c r="O33" s="19">
        <f>SUM(O3:O32)</f>
        <v>88.812170242701356</v>
      </c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>
        <f t="shared" si="2"/>
        <v>0</v>
      </c>
      <c r="AC33" s="20"/>
      <c r="AD33" s="19">
        <f t="shared" si="3"/>
        <v>28349.999999999993</v>
      </c>
      <c r="AE33" s="19">
        <f t="shared" si="4"/>
        <v>31184.999999999993</v>
      </c>
      <c r="AF33" s="19">
        <f t="shared" si="5"/>
        <v>34019.999999999993</v>
      </c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20">
        <f t="shared" si="6"/>
        <v>0</v>
      </c>
      <c r="AU33" s="16"/>
      <c r="AV33" s="19">
        <f t="shared" si="7"/>
        <v>712.99999999999989</v>
      </c>
      <c r="AW33" s="19">
        <f>SUM(AW3:AW32)</f>
        <v>801.69926134365107</v>
      </c>
      <c r="AX33" s="19">
        <f>SUM(AX3:AX32)</f>
        <v>894.98311642631018</v>
      </c>
      <c r="AY33" s="16"/>
      <c r="AZ33" s="16"/>
      <c r="BA33" s="16"/>
      <c r="BB33" s="16"/>
      <c r="BC33" s="19">
        <f t="shared" si="10"/>
        <v>53777.999999999985</v>
      </c>
      <c r="BD33" s="19">
        <f t="shared" si="11"/>
        <v>59154.999999999993</v>
      </c>
      <c r="BE33" s="19">
        <f t="shared" si="12"/>
        <v>64533.999999999978</v>
      </c>
      <c r="BF33" s="20"/>
      <c r="BG33" s="20"/>
      <c r="BH33" s="20"/>
      <c r="BI33" s="20"/>
      <c r="BJ33" s="19">
        <f t="shared" si="13"/>
        <v>18679.999999999996</v>
      </c>
      <c r="BK33" s="19">
        <f t="shared" si="14"/>
        <v>20094.999999999996</v>
      </c>
      <c r="BL33" s="19">
        <f t="shared" si="15"/>
        <v>22103.999999999996</v>
      </c>
      <c r="BM33" s="20"/>
      <c r="BN33" s="20"/>
      <c r="BO33" s="20"/>
      <c r="BP33" s="20"/>
      <c r="BQ33" s="19">
        <f t="shared" si="16"/>
        <v>104370.99999999997</v>
      </c>
      <c r="BR33" s="19">
        <f t="shared" si="17"/>
        <v>112719.99999999997</v>
      </c>
      <c r="BS33" s="19">
        <f t="shared" si="18"/>
        <v>120026.99999999997</v>
      </c>
      <c r="BT33" s="16"/>
      <c r="BU33" s="16"/>
      <c r="BV33" s="16"/>
      <c r="BW33" s="16"/>
      <c r="BX33" s="16"/>
      <c r="BY33" s="16"/>
      <c r="BZ33" s="16"/>
      <c r="CA33" s="16"/>
      <c r="CB33" s="20">
        <f t="shared" si="19"/>
        <v>0</v>
      </c>
      <c r="CC33" s="20">
        <f t="shared" si="20"/>
        <v>0</v>
      </c>
      <c r="CD33" s="16"/>
      <c r="CE33" s="19">
        <f t="shared" si="21"/>
        <v>217.99999999999994</v>
      </c>
      <c r="CF33" s="19">
        <f>SUM(CF3:CF32)</f>
        <v>251.5247977488568</v>
      </c>
      <c r="CG33" s="19">
        <f>SUM(CG3:CG32)</f>
        <v>303.64298276468526</v>
      </c>
      <c r="CH33" s="9"/>
      <c r="CI33" s="42">
        <f t="shared" si="24"/>
        <v>0</v>
      </c>
      <c r="CJ33" s="43">
        <f t="shared" si="25"/>
        <v>0</v>
      </c>
    </row>
    <row r="34" spans="1:88">
      <c r="E34" s="29" t="s">
        <v>93</v>
      </c>
      <c r="H34" s="24"/>
      <c r="I34" s="16"/>
      <c r="J34" s="16"/>
      <c r="K34" s="16"/>
      <c r="L34" s="16"/>
      <c r="M34" s="25"/>
      <c r="Q34" s="16">
        <v>8</v>
      </c>
      <c r="R34" s="16">
        <v>2</v>
      </c>
      <c r="S34" s="24">
        <v>42</v>
      </c>
      <c r="T34" s="24">
        <v>1</v>
      </c>
      <c r="U34" s="16"/>
      <c r="V34" s="16">
        <v>3</v>
      </c>
      <c r="W34" s="16"/>
      <c r="X34" s="16"/>
      <c r="Y34" s="16"/>
      <c r="Z34" s="16"/>
      <c r="AA34" s="16">
        <v>632.1</v>
      </c>
      <c r="AB34" s="20">
        <f t="shared" si="2"/>
        <v>45</v>
      </c>
      <c r="AC34" s="30"/>
      <c r="AH34" s="24"/>
      <c r="AI34" s="16"/>
      <c r="AJ34" s="16"/>
      <c r="AK34" s="16">
        <v>2</v>
      </c>
      <c r="AL34" s="16">
        <v>5</v>
      </c>
      <c r="AM34" s="16">
        <v>2</v>
      </c>
      <c r="AN34" s="16">
        <v>3</v>
      </c>
      <c r="AO34" s="16">
        <v>2</v>
      </c>
      <c r="AP34" s="16">
        <v>3</v>
      </c>
      <c r="AQ34" s="16"/>
      <c r="AR34" s="16"/>
      <c r="AS34" s="16">
        <v>6</v>
      </c>
      <c r="AT34" s="20">
        <f t="shared" si="6"/>
        <v>11</v>
      </c>
      <c r="AU34" s="16"/>
      <c r="AV34" s="25"/>
      <c r="BA34" s="24"/>
      <c r="BB34" s="16"/>
      <c r="BC34" s="25"/>
      <c r="BH34" s="24"/>
      <c r="BI34" s="16"/>
      <c r="BJ34" s="25"/>
      <c r="BN34" s="16">
        <v>504</v>
      </c>
      <c r="BO34" s="24">
        <f>BN34*0.1</f>
        <v>50.400000000000006</v>
      </c>
      <c r="BP34" s="16"/>
      <c r="BQ34" s="25"/>
      <c r="BU34" s="16">
        <v>1</v>
      </c>
      <c r="BW34" s="11">
        <v>3</v>
      </c>
      <c r="BZ34" s="16">
        <v>2</v>
      </c>
      <c r="CA34" s="16">
        <v>4</v>
      </c>
      <c r="CB34" s="20">
        <f t="shared" si="19"/>
        <v>3</v>
      </c>
      <c r="CC34" s="20">
        <f t="shared" si="20"/>
        <v>7</v>
      </c>
      <c r="CD34" s="16"/>
      <c r="CE34" s="9"/>
      <c r="CF34" s="25"/>
      <c r="CI34" s="42">
        <f t="shared" si="24"/>
        <v>113.4</v>
      </c>
      <c r="CJ34" s="43">
        <f t="shared" si="25"/>
        <v>0</v>
      </c>
    </row>
    <row r="35" spans="1:88">
      <c r="A35" s="39" t="s">
        <v>115</v>
      </c>
      <c r="H35" s="24"/>
      <c r="I35" s="16"/>
      <c r="J35" s="16"/>
      <c r="K35" s="16">
        <f>SUM(K3:K34)</f>
        <v>5645.652</v>
      </c>
      <c r="L35" s="16">
        <f>SUM(L3:L34)</f>
        <v>100</v>
      </c>
      <c r="M35" s="25"/>
      <c r="N35" s="45"/>
      <c r="O35" s="46"/>
      <c r="P35" s="47"/>
      <c r="Q35" s="47"/>
      <c r="R35" s="47"/>
      <c r="S35" s="47"/>
      <c r="T35" s="16"/>
      <c r="U35" s="16"/>
      <c r="V35" s="16"/>
      <c r="W35" s="16"/>
      <c r="X35" s="16"/>
      <c r="Y35" s="16"/>
      <c r="Z35" s="16"/>
      <c r="AA35" s="16"/>
      <c r="AB35" s="20">
        <f>SUM(AB3:AB34)</f>
        <v>2559</v>
      </c>
      <c r="AC35" s="44">
        <f>SUM(AC3:AC34)</f>
        <v>317.18093563137535</v>
      </c>
      <c r="AH35" s="24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20">
        <f>SUM(AT3:AT34)</f>
        <v>1749</v>
      </c>
      <c r="AU35" s="20">
        <f>SUM(AU3:AU34)</f>
        <v>61.5</v>
      </c>
      <c r="AV35" s="25"/>
      <c r="BA35" s="51">
        <f>SUM(BA3:BA34)</f>
        <v>4815.604800000001</v>
      </c>
      <c r="BB35" s="20">
        <f>SUM(BB3:BB34)</f>
        <v>435.96919999999994</v>
      </c>
      <c r="BC35" s="25"/>
      <c r="BH35" s="52">
        <f>SUM(BH3:BH34)</f>
        <v>5200.880000000001</v>
      </c>
      <c r="BI35" s="20">
        <f>SUM(BI3:BI34)</f>
        <v>112.3</v>
      </c>
      <c r="BJ35" s="25"/>
      <c r="BO35" s="52">
        <f>SUM(BO3:BO34)</f>
        <v>15573.977999999999</v>
      </c>
      <c r="BP35" s="20">
        <f>SUM(BP3:BP34)</f>
        <v>572.63199999999995</v>
      </c>
      <c r="BQ35" s="25"/>
      <c r="CC35" s="51">
        <f>SUM(CC3:CC34)</f>
        <v>974</v>
      </c>
      <c r="CD35" s="20">
        <f>SUM(CD3:CD34)</f>
        <v>10</v>
      </c>
      <c r="CE35" s="9"/>
      <c r="CF35" s="25"/>
    </row>
    <row r="36" spans="1:88">
      <c r="H36" s="24"/>
      <c r="I36" s="16"/>
      <c r="J36" s="16"/>
      <c r="K36" s="16"/>
      <c r="L36" s="16"/>
      <c r="M36" s="25"/>
      <c r="N36" s="48"/>
      <c r="O36" s="9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20">
        <f t="shared" si="2"/>
        <v>0</v>
      </c>
      <c r="AC36" s="30"/>
      <c r="AH36" s="24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25"/>
      <c r="BA36" s="24"/>
      <c r="BB36" s="16"/>
      <c r="BC36" s="25"/>
      <c r="BH36" s="24"/>
      <c r="BI36" s="16"/>
      <c r="BJ36" s="25"/>
      <c r="BO36" s="24"/>
      <c r="BP36" s="16"/>
      <c r="BQ36" s="25"/>
      <c r="CC36" s="24"/>
      <c r="CD36" s="16"/>
      <c r="CE36" s="9"/>
      <c r="CF36" s="25"/>
    </row>
    <row r="37" spans="1:88">
      <c r="H37" s="24"/>
      <c r="I37" s="16"/>
      <c r="J37" s="16"/>
      <c r="K37" s="16"/>
      <c r="L37" s="16"/>
      <c r="M37" s="25"/>
      <c r="N37" s="49"/>
      <c r="O37" s="50"/>
      <c r="P37" s="27"/>
      <c r="Q37" s="27"/>
      <c r="R37" s="27"/>
      <c r="S37" s="27"/>
      <c r="T37" s="16"/>
      <c r="U37" s="16"/>
      <c r="V37" s="16"/>
      <c r="W37" s="16"/>
      <c r="X37" s="16"/>
      <c r="Y37" s="16"/>
      <c r="Z37" s="16"/>
      <c r="AA37" s="16"/>
      <c r="AB37" s="20">
        <f t="shared" si="2"/>
        <v>0</v>
      </c>
      <c r="AC37" s="30"/>
      <c r="AH37" s="24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25"/>
      <c r="BA37" s="24"/>
      <c r="BB37" s="16"/>
      <c r="BC37" s="25"/>
      <c r="BH37" s="24"/>
      <c r="BI37" s="16"/>
      <c r="BJ37" s="25"/>
      <c r="BO37" s="24"/>
      <c r="BP37" s="16"/>
      <c r="BQ37" s="25"/>
      <c r="CC37" s="24"/>
      <c r="CD37" s="16"/>
      <c r="CE37" s="9"/>
      <c r="CF37" s="25"/>
    </row>
    <row r="38" spans="1:88">
      <c r="H38" s="24"/>
      <c r="I38" s="16"/>
      <c r="J38" s="16"/>
      <c r="K38" s="16"/>
      <c r="L38" s="16"/>
      <c r="M38" s="25"/>
      <c r="T38" s="26"/>
      <c r="U38" s="27"/>
      <c r="V38" s="27"/>
      <c r="W38" s="27"/>
      <c r="X38" s="27"/>
      <c r="Y38" s="27"/>
      <c r="Z38" s="27"/>
      <c r="AA38" s="27"/>
      <c r="AB38" s="31"/>
      <c r="AC38" s="31"/>
      <c r="AH38" s="24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25"/>
      <c r="BA38" s="24"/>
      <c r="BB38" s="16"/>
      <c r="BC38" s="25"/>
      <c r="BH38" s="24"/>
      <c r="BI38" s="16"/>
      <c r="BJ38" s="25"/>
      <c r="BO38" s="24"/>
      <c r="BP38" s="16"/>
      <c r="BQ38" s="25"/>
      <c r="CC38" s="24"/>
      <c r="CD38" s="16"/>
      <c r="CE38" s="9"/>
      <c r="CF38" s="25"/>
    </row>
    <row r="39" spans="1:88">
      <c r="H39" s="24"/>
      <c r="I39" s="16"/>
      <c r="J39" s="16"/>
      <c r="K39" s="16"/>
      <c r="L39" s="16"/>
      <c r="M39" s="25"/>
      <c r="AH39" s="24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25"/>
      <c r="BA39" s="24"/>
      <c r="BB39" s="16"/>
      <c r="BC39" s="25"/>
      <c r="BH39" s="24"/>
      <c r="BI39" s="16"/>
      <c r="BJ39" s="25"/>
      <c r="BO39" s="24"/>
      <c r="BP39" s="16"/>
      <c r="BQ39" s="25"/>
      <c r="CC39" s="24"/>
      <c r="CD39" s="16"/>
      <c r="CE39" s="9"/>
      <c r="CF39" s="25"/>
    </row>
    <row r="40" spans="1:88">
      <c r="H40" s="24"/>
      <c r="I40" s="16"/>
      <c r="J40" s="16"/>
      <c r="K40" s="16"/>
      <c r="L40" s="16"/>
      <c r="M40" s="25"/>
      <c r="AH40" s="24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25"/>
      <c r="BA40" s="26"/>
      <c r="BB40" s="27"/>
      <c r="BC40" s="28"/>
      <c r="BH40" s="24"/>
      <c r="BI40" s="16"/>
      <c r="BJ40" s="25"/>
      <c r="BO40" s="24"/>
      <c r="BP40" s="16"/>
      <c r="BQ40" s="25"/>
      <c r="CC40" s="24"/>
      <c r="CD40" s="16"/>
      <c r="CE40" s="9"/>
      <c r="CF40" s="25"/>
    </row>
    <row r="41" spans="1:88">
      <c r="H41" s="26"/>
      <c r="I41" s="27"/>
      <c r="J41" s="27"/>
      <c r="K41" s="27"/>
      <c r="L41" s="27"/>
      <c r="M41" s="28"/>
      <c r="AH41" s="24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25"/>
      <c r="BH41" s="24"/>
      <c r="BI41" s="16"/>
      <c r="BJ41" s="25"/>
      <c r="BO41" s="24"/>
      <c r="BP41" s="16"/>
      <c r="BQ41" s="25"/>
      <c r="CC41" s="24"/>
      <c r="CD41" s="16"/>
      <c r="CE41" s="9"/>
      <c r="CF41" s="25"/>
    </row>
    <row r="42" spans="1:88">
      <c r="AH42" s="24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25"/>
      <c r="BH42" s="24"/>
      <c r="BI42" s="16"/>
      <c r="BJ42" s="25"/>
      <c r="BO42" s="24"/>
      <c r="BP42" s="16"/>
      <c r="BQ42" s="25"/>
      <c r="CC42" s="24"/>
      <c r="CD42" s="16"/>
      <c r="CE42" s="9"/>
      <c r="CF42" s="25"/>
    </row>
    <row r="43" spans="1:88">
      <c r="AH43" s="24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25"/>
      <c r="BH43" s="24"/>
      <c r="BI43" s="16"/>
      <c r="BJ43" s="25"/>
      <c r="BO43" s="24"/>
      <c r="BP43" s="16"/>
      <c r="BQ43" s="25"/>
      <c r="CC43" s="24"/>
      <c r="CD43" s="16"/>
      <c r="CE43" s="9"/>
      <c r="CF43" s="25"/>
    </row>
    <row r="44" spans="1:88">
      <c r="AH44" s="24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25"/>
      <c r="BH44" s="26"/>
      <c r="BI44" s="27"/>
      <c r="BJ44" s="28"/>
      <c r="BO44" s="26"/>
      <c r="BP44" s="27"/>
      <c r="BQ44" s="28"/>
      <c r="CC44" s="26"/>
      <c r="CD44" s="27"/>
      <c r="CE44" s="50"/>
      <c r="CF44" s="28"/>
    </row>
    <row r="45" spans="1:88">
      <c r="AH45" s="24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25"/>
    </row>
    <row r="46" spans="1:88">
      <c r="AH46" s="24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25"/>
    </row>
    <row r="47" spans="1:88">
      <c r="AH47" s="24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25"/>
    </row>
    <row r="48" spans="1:88">
      <c r="AH48" s="24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25"/>
    </row>
    <row r="49" spans="34:48">
      <c r="AH49" s="24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25"/>
    </row>
    <row r="50" spans="34:48">
      <c r="AH50" s="24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25"/>
    </row>
    <row r="51" spans="34:48">
      <c r="AH51" s="24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25"/>
    </row>
    <row r="52" spans="34:48">
      <c r="AH52" s="24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25"/>
    </row>
    <row r="53" spans="34:48">
      <c r="AH53" s="24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25"/>
    </row>
    <row r="54" spans="34:48">
      <c r="AH54" s="24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25"/>
    </row>
    <row r="55" spans="34:48">
      <c r="AH55" s="24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25"/>
    </row>
    <row r="56" spans="34:48">
      <c r="AH56" s="24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25"/>
    </row>
    <row r="57" spans="34:48">
      <c r="AH57" s="24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25"/>
    </row>
    <row r="58" spans="34:48">
      <c r="AH58" s="24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25"/>
    </row>
    <row r="59" spans="34:48">
      <c r="AH59" s="24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25"/>
    </row>
    <row r="60" spans="34:48">
      <c r="AH60" s="24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25"/>
    </row>
    <row r="61" spans="34:48">
      <c r="AH61" s="24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25"/>
    </row>
    <row r="62" spans="34:48">
      <c r="AH62" s="26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8"/>
    </row>
  </sheetData>
  <mergeCells count="7">
    <mergeCell ref="BN1:BT1"/>
    <mergeCell ref="BU1:CH1"/>
    <mergeCell ref="H1:P1"/>
    <mergeCell ref="Q1:AG1"/>
    <mergeCell ref="AH1:AY1"/>
    <mergeCell ref="AZ1:BF1"/>
    <mergeCell ref="BG1:BM1"/>
  </mergeCells>
  <phoneticPr fontId="5" type="noConversion"/>
  <pageMargins left="0.2" right="0.11874999999999999" top="0.38888888888888901" bottom="0.30902777777777801" header="0.2" footer="0.238888888888889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4"/>
  <sheetViews>
    <sheetView workbookViewId="0">
      <selection activeCell="A4" sqref="A4:XFD4"/>
    </sheetView>
  </sheetViews>
  <sheetFormatPr defaultColWidth="9" defaultRowHeight="14.25"/>
  <cols>
    <col min="1" max="1" width="5.25" customWidth="1"/>
    <col min="2" max="2" width="6.125" customWidth="1"/>
    <col min="3" max="4" width="8.375" customWidth="1"/>
    <col min="8" max="14" width="14.25" style="1" customWidth="1"/>
    <col min="15" max="15" width="16.125" customWidth="1"/>
  </cols>
  <sheetData>
    <row r="1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55" t="s">
        <v>88</v>
      </c>
      <c r="I1" s="55"/>
      <c r="J1" s="55"/>
      <c r="K1" s="55"/>
      <c r="L1" s="55"/>
      <c r="M1" s="55"/>
      <c r="N1" s="55"/>
      <c r="O1" s="56"/>
    </row>
    <row r="2" spans="1:15" ht="28.5">
      <c r="A2" s="2">
        <v>1</v>
      </c>
      <c r="B2" s="2">
        <v>307</v>
      </c>
      <c r="C2" s="2" t="s">
        <v>14</v>
      </c>
      <c r="D2" s="2"/>
      <c r="E2" s="2"/>
      <c r="F2" s="3"/>
      <c r="G2" s="3"/>
      <c r="H2" s="22" t="s">
        <v>89</v>
      </c>
      <c r="I2" s="32" t="s">
        <v>129</v>
      </c>
      <c r="J2" s="22" t="s">
        <v>90</v>
      </c>
      <c r="K2" s="32" t="s">
        <v>130</v>
      </c>
      <c r="L2" s="22" t="s">
        <v>29</v>
      </c>
      <c r="M2" s="32" t="s">
        <v>124</v>
      </c>
      <c r="N2" s="22" t="s">
        <v>91</v>
      </c>
      <c r="O2" s="25" t="s">
        <v>92</v>
      </c>
    </row>
    <row r="3" spans="1:15">
      <c r="A3" s="2">
        <v>2</v>
      </c>
      <c r="B3" s="4">
        <v>307</v>
      </c>
      <c r="C3" s="4" t="s">
        <v>14</v>
      </c>
      <c r="D3" s="5">
        <v>7107</v>
      </c>
      <c r="E3" s="5" t="s">
        <v>55</v>
      </c>
      <c r="F3" s="5">
        <v>1.3</v>
      </c>
      <c r="G3" s="5"/>
      <c r="H3" s="6">
        <v>6063.28</v>
      </c>
      <c r="I3" s="6">
        <f>H3*0.1</f>
        <v>606.32799999999997</v>
      </c>
      <c r="J3" s="6">
        <v>81</v>
      </c>
      <c r="K3" s="6">
        <f>J3*0.05</f>
        <v>4.05</v>
      </c>
      <c r="L3" s="6">
        <f>H3+J3</f>
        <v>6144.28</v>
      </c>
      <c r="M3" s="6">
        <f>I3+K3</f>
        <v>610.37799999999993</v>
      </c>
      <c r="N3" s="6"/>
      <c r="O3" s="10">
        <f>48772*F3/15.79</f>
        <v>4015.4274857504802</v>
      </c>
    </row>
    <row r="4" spans="1:15">
      <c r="A4" s="2">
        <v>3</v>
      </c>
      <c r="B4" s="4">
        <v>307</v>
      </c>
      <c r="C4" s="4" t="s">
        <v>14</v>
      </c>
      <c r="D4" s="5">
        <v>9563</v>
      </c>
      <c r="E4" s="5" t="s">
        <v>56</v>
      </c>
      <c r="F4" s="5">
        <v>1.3</v>
      </c>
      <c r="G4" s="5"/>
      <c r="H4" s="6">
        <v>1318.89</v>
      </c>
      <c r="I4" s="6">
        <f t="shared" ref="I4:I34" si="0">H4*0.1</f>
        <v>131.88900000000001</v>
      </c>
      <c r="J4" s="6">
        <v>36</v>
      </c>
      <c r="K4" s="6">
        <f t="shared" ref="K4:K32" si="1">J4*0.05</f>
        <v>1.8</v>
      </c>
      <c r="L4" s="6">
        <f>H4+J4</f>
        <v>1354.89</v>
      </c>
      <c r="M4" s="6">
        <f t="shared" ref="M4:M34" si="2">I4+K4</f>
        <v>133.68900000000002</v>
      </c>
      <c r="N4" s="6">
        <f>(O4-L4)*0.1</f>
        <v>266.05374857504802</v>
      </c>
      <c r="O4" s="10">
        <f t="shared" ref="O4:O33" si="3">48772*F4/15.79</f>
        <v>4015.4274857504802</v>
      </c>
    </row>
    <row r="5" spans="1:15">
      <c r="A5" s="2">
        <v>4</v>
      </c>
      <c r="B5" s="4">
        <v>307</v>
      </c>
      <c r="C5" s="4" t="s">
        <v>14</v>
      </c>
      <c r="D5" s="5">
        <v>9669</v>
      </c>
      <c r="E5" s="5" t="s">
        <v>57</v>
      </c>
      <c r="F5" s="5">
        <v>1.3</v>
      </c>
      <c r="G5" s="5"/>
      <c r="H5" s="6">
        <v>1435.07</v>
      </c>
      <c r="I5" s="6">
        <f t="shared" si="0"/>
        <v>143.50700000000001</v>
      </c>
      <c r="J5" s="6">
        <v>36</v>
      </c>
      <c r="K5" s="6">
        <f t="shared" si="1"/>
        <v>1.8</v>
      </c>
      <c r="L5" s="6">
        <f>H5+J5</f>
        <v>1471.07</v>
      </c>
      <c r="M5" s="6">
        <f t="shared" si="2"/>
        <v>145.30700000000002</v>
      </c>
      <c r="N5" s="6">
        <f>(O5-L5)*0.1</f>
        <v>254.43574857504802</v>
      </c>
      <c r="O5" s="10">
        <f t="shared" si="3"/>
        <v>4015.4274857504802</v>
      </c>
    </row>
    <row r="6" spans="1:15">
      <c r="A6" s="2">
        <v>5</v>
      </c>
      <c r="B6" s="4">
        <v>307</v>
      </c>
      <c r="C6" s="4" t="s">
        <v>14</v>
      </c>
      <c r="D6" s="5">
        <v>991137</v>
      </c>
      <c r="E6" s="5" t="s">
        <v>58</v>
      </c>
      <c r="F6" s="5">
        <v>1.1000000000000001</v>
      </c>
      <c r="G6" s="5"/>
      <c r="H6" s="6">
        <v>8903</v>
      </c>
      <c r="I6" s="6">
        <f t="shared" si="0"/>
        <v>890.30000000000007</v>
      </c>
      <c r="J6" s="6">
        <v>9</v>
      </c>
      <c r="K6" s="6">
        <f t="shared" si="1"/>
        <v>0.45</v>
      </c>
      <c r="L6" s="6">
        <f>H6+J6</f>
        <v>8912</v>
      </c>
      <c r="M6" s="6">
        <f t="shared" si="2"/>
        <v>890.75000000000011</v>
      </c>
      <c r="N6" s="6"/>
      <c r="O6" s="10">
        <f t="shared" si="3"/>
        <v>3397.6694110196299</v>
      </c>
    </row>
    <row r="7" spans="1:15">
      <c r="A7" s="2">
        <v>6</v>
      </c>
      <c r="B7" s="4">
        <v>307</v>
      </c>
      <c r="C7" s="4" t="s">
        <v>14</v>
      </c>
      <c r="D7" s="5">
        <v>990264</v>
      </c>
      <c r="E7" s="5" t="s">
        <v>59</v>
      </c>
      <c r="F7" s="5">
        <v>1.1000000000000001</v>
      </c>
      <c r="G7" s="5"/>
      <c r="H7" s="6">
        <v>1424</v>
      </c>
      <c r="I7" s="6">
        <f t="shared" si="0"/>
        <v>142.4</v>
      </c>
      <c r="J7" s="6">
        <v>18</v>
      </c>
      <c r="K7" s="6">
        <f t="shared" si="1"/>
        <v>0.9</v>
      </c>
      <c r="L7" s="6">
        <f>H7+J7</f>
        <v>1442</v>
      </c>
      <c r="M7" s="6">
        <f t="shared" si="2"/>
        <v>143.30000000000001</v>
      </c>
      <c r="N7" s="6">
        <f>(O7-L7)*0.1</f>
        <v>195.56694110196301</v>
      </c>
      <c r="O7" s="10">
        <f t="shared" si="3"/>
        <v>3397.6694110196299</v>
      </c>
    </row>
    <row r="8" spans="1:15">
      <c r="A8" s="2">
        <v>7</v>
      </c>
      <c r="B8" s="4">
        <v>307</v>
      </c>
      <c r="C8" s="4" t="s">
        <v>14</v>
      </c>
      <c r="D8" s="5">
        <v>993501</v>
      </c>
      <c r="E8" s="5" t="s">
        <v>60</v>
      </c>
      <c r="F8" s="5">
        <v>1.1000000000000001</v>
      </c>
      <c r="G8" s="5"/>
      <c r="H8" s="6">
        <v>1744.4</v>
      </c>
      <c r="I8" s="6">
        <f t="shared" si="0"/>
        <v>174.44000000000003</v>
      </c>
      <c r="J8" s="6">
        <v>9</v>
      </c>
      <c r="K8" s="6">
        <f t="shared" si="1"/>
        <v>0.45</v>
      </c>
      <c r="L8" s="6">
        <f>H8+J8</f>
        <v>1753.4</v>
      </c>
      <c r="M8" s="6">
        <f t="shared" si="2"/>
        <v>174.89000000000001</v>
      </c>
      <c r="N8" s="6">
        <f>(O8-L8)*0.1</f>
        <v>164.426941101963</v>
      </c>
      <c r="O8" s="10">
        <f t="shared" si="3"/>
        <v>3397.6694110196299</v>
      </c>
    </row>
    <row r="9" spans="1:15">
      <c r="A9" s="2">
        <v>8</v>
      </c>
      <c r="B9" s="4">
        <v>307</v>
      </c>
      <c r="C9" s="4" t="s">
        <v>14</v>
      </c>
      <c r="D9" s="7">
        <v>10613</v>
      </c>
      <c r="E9" s="7" t="s">
        <v>61</v>
      </c>
      <c r="F9" s="7">
        <v>0.9</v>
      </c>
      <c r="G9" s="7"/>
      <c r="H9" s="6">
        <v>2386.1999999999998</v>
      </c>
      <c r="I9" s="6">
        <f t="shared" si="0"/>
        <v>238.62</v>
      </c>
      <c r="J9" s="6">
        <v>27</v>
      </c>
      <c r="K9" s="6">
        <f t="shared" si="1"/>
        <v>1.35</v>
      </c>
      <c r="L9" s="6">
        <f>H9+J9</f>
        <v>2413.1999999999998</v>
      </c>
      <c r="M9" s="6">
        <f t="shared" si="2"/>
        <v>239.97</v>
      </c>
      <c r="N9" s="6">
        <f>(O9-L9)*0.1</f>
        <v>36.671133628879033</v>
      </c>
      <c r="O9" s="10">
        <f t="shared" si="3"/>
        <v>2779.9113362887902</v>
      </c>
    </row>
    <row r="10" spans="1:15">
      <c r="A10" s="2">
        <v>10</v>
      </c>
      <c r="B10" s="4">
        <v>307</v>
      </c>
      <c r="C10" s="4" t="s">
        <v>14</v>
      </c>
      <c r="D10" s="5">
        <v>5880</v>
      </c>
      <c r="E10" s="5" t="s">
        <v>62</v>
      </c>
      <c r="F10" s="5">
        <v>1</v>
      </c>
      <c r="G10" s="5"/>
      <c r="H10" s="6">
        <v>961.2</v>
      </c>
      <c r="I10" s="6">
        <f t="shared" si="0"/>
        <v>96.12</v>
      </c>
      <c r="J10" s="6">
        <v>72</v>
      </c>
      <c r="K10" s="6">
        <f t="shared" si="1"/>
        <v>3.6</v>
      </c>
      <c r="L10" s="6">
        <f>H10+J10</f>
        <v>1033.2</v>
      </c>
      <c r="M10" s="6">
        <f t="shared" si="2"/>
        <v>99.72</v>
      </c>
      <c r="N10" s="6">
        <f>(O10-L10)*0.1</f>
        <v>205.55903736542098</v>
      </c>
      <c r="O10" s="10">
        <f t="shared" si="3"/>
        <v>3088.7903736542098</v>
      </c>
    </row>
    <row r="11" spans="1:15">
      <c r="A11" s="2">
        <v>11</v>
      </c>
      <c r="B11" s="4">
        <v>307</v>
      </c>
      <c r="C11" s="4" t="s">
        <v>14</v>
      </c>
      <c r="D11" s="5">
        <v>10886</v>
      </c>
      <c r="E11" s="5" t="s">
        <v>63</v>
      </c>
      <c r="F11" s="5">
        <v>0.4</v>
      </c>
      <c r="G11" s="5" t="s">
        <v>64</v>
      </c>
      <c r="H11" s="6">
        <v>1430.2</v>
      </c>
      <c r="I11" s="6">
        <f t="shared" si="0"/>
        <v>143.02000000000001</v>
      </c>
      <c r="J11" s="6">
        <v>18</v>
      </c>
      <c r="K11" s="6">
        <f t="shared" si="1"/>
        <v>0.9</v>
      </c>
      <c r="L11" s="6">
        <f>H11+J11</f>
        <v>1448.2</v>
      </c>
      <c r="M11" s="6">
        <f t="shared" si="2"/>
        <v>143.92000000000002</v>
      </c>
      <c r="N11" s="6"/>
      <c r="O11" s="10">
        <f t="shared" si="3"/>
        <v>1235.51614946168</v>
      </c>
    </row>
    <row r="12" spans="1:15">
      <c r="A12" s="2">
        <v>12</v>
      </c>
      <c r="B12" s="4">
        <v>307</v>
      </c>
      <c r="C12" s="4" t="s">
        <v>14</v>
      </c>
      <c r="D12" s="5">
        <v>10922</v>
      </c>
      <c r="E12" s="5" t="s">
        <v>65</v>
      </c>
      <c r="F12" s="5">
        <v>0.8</v>
      </c>
      <c r="G12" s="5"/>
      <c r="H12" s="6">
        <v>1975.8</v>
      </c>
      <c r="I12" s="6">
        <f t="shared" si="0"/>
        <v>197.58</v>
      </c>
      <c r="J12" s="6">
        <v>27</v>
      </c>
      <c r="K12" s="6">
        <f t="shared" si="1"/>
        <v>1.35</v>
      </c>
      <c r="L12" s="6">
        <f>H12+J12</f>
        <v>2002.8</v>
      </c>
      <c r="M12" s="6">
        <f t="shared" si="2"/>
        <v>198.93</v>
      </c>
      <c r="N12" s="6">
        <f>(O12-L12)*0.1</f>
        <v>46.823229892337011</v>
      </c>
      <c r="O12" s="10">
        <f t="shared" si="3"/>
        <v>2471.03229892337</v>
      </c>
    </row>
    <row r="13" spans="1:15">
      <c r="A13" s="2">
        <v>13</v>
      </c>
      <c r="B13" s="4">
        <v>307</v>
      </c>
      <c r="C13" s="4" t="s">
        <v>14</v>
      </c>
      <c r="D13" s="5">
        <v>11117</v>
      </c>
      <c r="E13" s="5" t="s">
        <v>66</v>
      </c>
      <c r="F13" s="5">
        <v>0.2</v>
      </c>
      <c r="G13" s="5" t="s">
        <v>64</v>
      </c>
      <c r="H13" s="6">
        <v>71.2</v>
      </c>
      <c r="I13" s="6">
        <f t="shared" si="0"/>
        <v>7.120000000000001</v>
      </c>
      <c r="J13" s="6"/>
      <c r="K13" s="6">
        <f t="shared" si="1"/>
        <v>0</v>
      </c>
      <c r="L13" s="6">
        <f>H13+J13</f>
        <v>71.2</v>
      </c>
      <c r="M13" s="6">
        <f t="shared" si="2"/>
        <v>7.120000000000001</v>
      </c>
      <c r="N13" s="6">
        <f>(O13-L13)*0.1</f>
        <v>54.655807473084202</v>
      </c>
      <c r="O13" s="10">
        <f t="shared" si="3"/>
        <v>617.75807473084205</v>
      </c>
    </row>
    <row r="14" spans="1:15">
      <c r="A14" s="2">
        <v>14</v>
      </c>
      <c r="B14" s="4">
        <v>307</v>
      </c>
      <c r="C14" s="4" t="s">
        <v>14</v>
      </c>
      <c r="D14" s="5">
        <v>7588</v>
      </c>
      <c r="E14" s="5" t="s">
        <v>67</v>
      </c>
      <c r="F14" s="5">
        <v>0.8</v>
      </c>
      <c r="G14" s="5"/>
      <c r="H14" s="6">
        <v>712</v>
      </c>
      <c r="I14" s="6">
        <f t="shared" si="0"/>
        <v>71.2</v>
      </c>
      <c r="J14" s="6">
        <v>27</v>
      </c>
      <c r="K14" s="6">
        <f t="shared" si="1"/>
        <v>1.35</v>
      </c>
      <c r="L14" s="6">
        <f>H14+J14</f>
        <v>739</v>
      </c>
      <c r="M14" s="6">
        <f t="shared" si="2"/>
        <v>72.55</v>
      </c>
      <c r="N14" s="6">
        <f>(O14-L14)*0.1</f>
        <v>173.20322989233702</v>
      </c>
      <c r="O14" s="10">
        <f t="shared" si="3"/>
        <v>2471.03229892337</v>
      </c>
    </row>
    <row r="15" spans="1:15">
      <c r="A15" s="2">
        <v>15</v>
      </c>
      <c r="B15" s="4">
        <v>307</v>
      </c>
      <c r="C15" s="4" t="s">
        <v>14</v>
      </c>
      <c r="D15" s="5">
        <v>9679</v>
      </c>
      <c r="E15" s="5" t="s">
        <v>68</v>
      </c>
      <c r="F15" s="5">
        <v>0.4</v>
      </c>
      <c r="G15" s="5" t="s">
        <v>64</v>
      </c>
      <c r="H15" s="6">
        <v>1059.0999999999999</v>
      </c>
      <c r="I15" s="6">
        <f t="shared" si="0"/>
        <v>105.91</v>
      </c>
      <c r="J15" s="6">
        <v>9</v>
      </c>
      <c r="K15" s="6">
        <f t="shared" si="1"/>
        <v>0.45</v>
      </c>
      <c r="L15" s="6">
        <f>H15+J15</f>
        <v>1068.0999999999999</v>
      </c>
      <c r="M15" s="6">
        <f t="shared" si="2"/>
        <v>106.36</v>
      </c>
      <c r="N15" s="6">
        <f>(O15-L15)*0.1</f>
        <v>16.74161494616801</v>
      </c>
      <c r="O15" s="10">
        <f t="shared" si="3"/>
        <v>1235.51614946168</v>
      </c>
    </row>
    <row r="16" spans="1:15">
      <c r="A16" s="2">
        <v>16</v>
      </c>
      <c r="B16" s="4">
        <v>307</v>
      </c>
      <c r="C16" s="4" t="s">
        <v>14</v>
      </c>
      <c r="D16" s="5">
        <v>7551</v>
      </c>
      <c r="E16" s="5" t="s">
        <v>69</v>
      </c>
      <c r="F16" s="5">
        <v>0.4</v>
      </c>
      <c r="G16" s="5" t="s">
        <v>64</v>
      </c>
      <c r="H16" s="6">
        <v>544.95000000000005</v>
      </c>
      <c r="I16" s="6">
        <f t="shared" si="0"/>
        <v>54.495000000000005</v>
      </c>
      <c r="J16" s="6">
        <v>41.14</v>
      </c>
      <c r="K16" s="6">
        <f t="shared" si="1"/>
        <v>2.0569999999999999</v>
      </c>
      <c r="L16" s="6">
        <f>H16+J16</f>
        <v>586.09</v>
      </c>
      <c r="M16" s="6">
        <f t="shared" si="2"/>
        <v>56.552000000000007</v>
      </c>
      <c r="N16" s="6">
        <f>(O16-L16)*0.1</f>
        <v>64.942614946168007</v>
      </c>
      <c r="O16" s="10">
        <f t="shared" si="3"/>
        <v>1235.51614946168</v>
      </c>
    </row>
    <row r="17" spans="1:15">
      <c r="A17" s="2">
        <v>17</v>
      </c>
      <c r="B17" s="4">
        <v>307</v>
      </c>
      <c r="C17" s="4" t="s">
        <v>14</v>
      </c>
      <c r="D17" s="5">
        <v>8527</v>
      </c>
      <c r="E17" s="5" t="s">
        <v>70</v>
      </c>
      <c r="F17" s="5">
        <v>0.4</v>
      </c>
      <c r="G17" s="5" t="s">
        <v>64</v>
      </c>
      <c r="H17" s="6">
        <v>351.64</v>
      </c>
      <c r="I17" s="6">
        <f t="shared" si="0"/>
        <v>35.164000000000001</v>
      </c>
      <c r="J17" s="6">
        <v>9</v>
      </c>
      <c r="K17" s="6">
        <f t="shared" si="1"/>
        <v>0.45</v>
      </c>
      <c r="L17" s="6">
        <f>H17+J17</f>
        <v>360.64</v>
      </c>
      <c r="M17" s="6">
        <f t="shared" si="2"/>
        <v>35.614000000000004</v>
      </c>
      <c r="N17" s="6">
        <f>(O17-L17)*0.1</f>
        <v>87.487614946168009</v>
      </c>
      <c r="O17" s="10">
        <f t="shared" si="3"/>
        <v>1235.51614946168</v>
      </c>
    </row>
    <row r="18" spans="1:15">
      <c r="A18" s="2">
        <v>18</v>
      </c>
      <c r="B18" s="4">
        <v>307</v>
      </c>
      <c r="C18" s="4" t="s">
        <v>14</v>
      </c>
      <c r="D18" s="5">
        <v>10989</v>
      </c>
      <c r="E18" s="5" t="s">
        <v>71</v>
      </c>
      <c r="F18" s="5">
        <v>0.9</v>
      </c>
      <c r="G18" s="8"/>
      <c r="H18" s="6">
        <v>1673.2</v>
      </c>
      <c r="I18" s="6">
        <f t="shared" si="0"/>
        <v>167.32000000000002</v>
      </c>
      <c r="J18" s="6">
        <v>54</v>
      </c>
      <c r="K18" s="6">
        <f t="shared" si="1"/>
        <v>2.7</v>
      </c>
      <c r="L18" s="6">
        <f>H18+J18</f>
        <v>1727.2</v>
      </c>
      <c r="M18" s="6">
        <f t="shared" si="2"/>
        <v>170.02</v>
      </c>
      <c r="N18" s="6">
        <f>(O18-L18)*0.1</f>
        <v>105.27113362887901</v>
      </c>
      <c r="O18" s="10">
        <f t="shared" si="3"/>
        <v>2779.9113362887902</v>
      </c>
    </row>
    <row r="19" spans="1:15">
      <c r="A19" s="2">
        <v>19</v>
      </c>
      <c r="B19" s="4">
        <v>307</v>
      </c>
      <c r="C19" s="4" t="s">
        <v>14</v>
      </c>
      <c r="D19" s="5">
        <v>10890</v>
      </c>
      <c r="E19" s="5" t="s">
        <v>72</v>
      </c>
      <c r="F19" s="5">
        <v>0.7</v>
      </c>
      <c r="G19" s="8"/>
      <c r="H19" s="6">
        <v>1468.74</v>
      </c>
      <c r="I19" s="6">
        <f t="shared" si="0"/>
        <v>146.874</v>
      </c>
      <c r="J19" s="6">
        <v>27</v>
      </c>
      <c r="K19" s="6">
        <f t="shared" si="1"/>
        <v>1.35</v>
      </c>
      <c r="L19" s="6">
        <f>H19+J19</f>
        <v>1495.74</v>
      </c>
      <c r="M19" s="6">
        <f t="shared" si="2"/>
        <v>148.22399999999999</v>
      </c>
      <c r="N19" s="6">
        <f>(O19-L19)*0.1</f>
        <v>66.641326155794999</v>
      </c>
      <c r="O19" s="10">
        <f t="shared" si="3"/>
        <v>2162.1532615579499</v>
      </c>
    </row>
    <row r="20" spans="1:15">
      <c r="A20" s="2">
        <v>20</v>
      </c>
      <c r="B20" s="4">
        <v>307</v>
      </c>
      <c r="C20" s="4" t="s">
        <v>14</v>
      </c>
      <c r="D20" s="5">
        <v>10892</v>
      </c>
      <c r="E20" s="5" t="s">
        <v>73</v>
      </c>
      <c r="F20" s="5">
        <v>0.7</v>
      </c>
      <c r="G20" s="8"/>
      <c r="H20" s="6">
        <v>640.79999999999995</v>
      </c>
      <c r="I20" s="6">
        <f t="shared" si="0"/>
        <v>64.08</v>
      </c>
      <c r="J20" s="6">
        <v>18</v>
      </c>
      <c r="K20" s="6">
        <f t="shared" si="1"/>
        <v>0.9</v>
      </c>
      <c r="L20" s="6">
        <f>H20+J20</f>
        <v>658.8</v>
      </c>
      <c r="M20" s="6">
        <f t="shared" si="2"/>
        <v>64.98</v>
      </c>
      <c r="N20" s="6">
        <f>(O20-L20)*0.1</f>
        <v>150.335326155795</v>
      </c>
      <c r="O20" s="10">
        <f t="shared" si="3"/>
        <v>2162.1532615579499</v>
      </c>
    </row>
    <row r="21" spans="1:15">
      <c r="A21" s="2">
        <v>21</v>
      </c>
      <c r="B21" s="4">
        <v>307</v>
      </c>
      <c r="C21" s="4" t="s">
        <v>14</v>
      </c>
      <c r="D21" s="5">
        <v>990280</v>
      </c>
      <c r="E21" s="5" t="s">
        <v>74</v>
      </c>
      <c r="F21" s="5">
        <v>0.36</v>
      </c>
      <c r="G21" s="8"/>
      <c r="H21" s="6">
        <v>71.2</v>
      </c>
      <c r="I21" s="6">
        <f t="shared" si="0"/>
        <v>7.120000000000001</v>
      </c>
      <c r="J21" s="6"/>
      <c r="K21" s="6">
        <f t="shared" si="1"/>
        <v>0</v>
      </c>
      <c r="L21" s="6">
        <f>H21+J21</f>
        <v>71.2</v>
      </c>
      <c r="M21" s="6">
        <f t="shared" si="2"/>
        <v>7.120000000000001</v>
      </c>
      <c r="N21" s="6"/>
      <c r="O21" s="10">
        <f t="shared" si="3"/>
        <v>1111.96453451552</v>
      </c>
    </row>
    <row r="22" spans="1:15">
      <c r="A22" s="2">
        <v>22</v>
      </c>
      <c r="B22" s="4">
        <v>307</v>
      </c>
      <c r="C22" s="4" t="s">
        <v>14</v>
      </c>
      <c r="D22" s="5">
        <v>4529</v>
      </c>
      <c r="E22" s="5" t="s">
        <v>75</v>
      </c>
      <c r="F22" s="5">
        <v>0.18</v>
      </c>
      <c r="G22" s="8"/>
      <c r="H22" s="6">
        <v>800</v>
      </c>
      <c r="I22" s="6">
        <f t="shared" si="0"/>
        <v>80</v>
      </c>
      <c r="J22" s="6">
        <v>2700</v>
      </c>
      <c r="K22" s="6">
        <f t="shared" si="1"/>
        <v>135</v>
      </c>
      <c r="L22" s="6">
        <f>H22+J22</f>
        <v>3500</v>
      </c>
      <c r="M22" s="6">
        <f t="shared" si="2"/>
        <v>215</v>
      </c>
      <c r="N22" s="6"/>
      <c r="O22" s="10">
        <f t="shared" si="3"/>
        <v>555.98226725775805</v>
      </c>
    </row>
    <row r="23" spans="1:15">
      <c r="A23" s="2">
        <v>23</v>
      </c>
      <c r="B23" s="4">
        <v>307</v>
      </c>
      <c r="C23" s="4" t="s">
        <v>14</v>
      </c>
      <c r="D23" s="5">
        <v>4746</v>
      </c>
      <c r="E23" s="5" t="s">
        <v>76</v>
      </c>
      <c r="F23" s="5">
        <v>0.18</v>
      </c>
      <c r="G23" s="8"/>
      <c r="H23" s="6">
        <v>61.24</v>
      </c>
      <c r="I23" s="6">
        <f t="shared" si="0"/>
        <v>6.1240000000000006</v>
      </c>
      <c r="J23" s="6"/>
      <c r="K23" s="6">
        <f t="shared" si="1"/>
        <v>0</v>
      </c>
      <c r="L23" s="6">
        <f>H23+J23</f>
        <v>61.24</v>
      </c>
      <c r="M23" s="6">
        <f t="shared" si="2"/>
        <v>6.1240000000000006</v>
      </c>
      <c r="N23" s="6"/>
      <c r="O23" s="10">
        <f t="shared" si="3"/>
        <v>555.98226725775805</v>
      </c>
    </row>
    <row r="24" spans="1:15">
      <c r="A24" s="2">
        <v>24</v>
      </c>
      <c r="B24" s="4">
        <v>307</v>
      </c>
      <c r="C24" s="4" t="s">
        <v>14</v>
      </c>
      <c r="D24" s="5">
        <v>8592</v>
      </c>
      <c r="E24" s="5" t="s">
        <v>77</v>
      </c>
      <c r="F24" s="5">
        <v>0.03</v>
      </c>
      <c r="G24" s="5" t="s">
        <v>78</v>
      </c>
      <c r="H24" s="6">
        <v>1148.08</v>
      </c>
      <c r="I24" s="6">
        <f t="shared" si="0"/>
        <v>114.80799999999999</v>
      </c>
      <c r="J24" s="6"/>
      <c r="K24" s="6">
        <f t="shared" si="1"/>
        <v>0</v>
      </c>
      <c r="L24" s="6">
        <f>H24+J24</f>
        <v>1148.08</v>
      </c>
      <c r="M24" s="6">
        <f t="shared" si="2"/>
        <v>114.80799999999999</v>
      </c>
      <c r="N24" s="6"/>
      <c r="O24" s="10">
        <f t="shared" si="3"/>
        <v>92.6637112096263</v>
      </c>
    </row>
    <row r="25" spans="1:15">
      <c r="A25" s="2">
        <v>25</v>
      </c>
      <c r="B25" s="4">
        <v>307</v>
      </c>
      <c r="C25" s="4" t="s">
        <v>14</v>
      </c>
      <c r="D25" s="5">
        <v>8022</v>
      </c>
      <c r="E25" s="5" t="s">
        <v>79</v>
      </c>
      <c r="F25" s="5">
        <v>0.03</v>
      </c>
      <c r="G25" s="5" t="s">
        <v>78</v>
      </c>
      <c r="H25" s="6">
        <v>124.6</v>
      </c>
      <c r="I25" s="6">
        <f t="shared" si="0"/>
        <v>12.46</v>
      </c>
      <c r="J25" s="6"/>
      <c r="K25" s="6">
        <f t="shared" si="1"/>
        <v>0</v>
      </c>
      <c r="L25" s="6">
        <f>H25+J25</f>
        <v>124.6</v>
      </c>
      <c r="M25" s="6">
        <f t="shared" si="2"/>
        <v>12.46</v>
      </c>
      <c r="N25" s="6"/>
      <c r="O25" s="10">
        <f t="shared" si="3"/>
        <v>92.6637112096263</v>
      </c>
    </row>
    <row r="26" spans="1:15">
      <c r="A26" s="2">
        <v>26</v>
      </c>
      <c r="B26" s="4">
        <v>307</v>
      </c>
      <c r="C26" s="4" t="s">
        <v>14</v>
      </c>
      <c r="D26" s="5">
        <v>4449</v>
      </c>
      <c r="E26" s="5" t="s">
        <v>80</v>
      </c>
      <c r="F26" s="5">
        <v>0.03</v>
      </c>
      <c r="G26" s="5" t="s">
        <v>78</v>
      </c>
      <c r="H26" s="6">
        <v>89</v>
      </c>
      <c r="I26" s="6">
        <f t="shared" si="0"/>
        <v>8.9</v>
      </c>
      <c r="J26" s="6"/>
      <c r="K26" s="6">
        <f t="shared" si="1"/>
        <v>0</v>
      </c>
      <c r="L26" s="6">
        <f>H26+J26</f>
        <v>89</v>
      </c>
      <c r="M26" s="6">
        <f t="shared" si="2"/>
        <v>8.9</v>
      </c>
      <c r="N26" s="6">
        <f>(O26-L26)*0.1</f>
        <v>0.36637112096262997</v>
      </c>
      <c r="O26" s="10">
        <f t="shared" si="3"/>
        <v>92.6637112096263</v>
      </c>
    </row>
    <row r="27" spans="1:15">
      <c r="A27" s="2">
        <v>27</v>
      </c>
      <c r="B27" s="4">
        <v>307</v>
      </c>
      <c r="C27" s="4" t="s">
        <v>14</v>
      </c>
      <c r="D27" s="5">
        <v>4292</v>
      </c>
      <c r="E27" s="5" t="s">
        <v>81</v>
      </c>
      <c r="F27" s="5">
        <v>0.03</v>
      </c>
      <c r="G27" s="5" t="s">
        <v>78</v>
      </c>
      <c r="H27" s="6">
        <v>236.2</v>
      </c>
      <c r="I27" s="6">
        <f t="shared" si="0"/>
        <v>23.62</v>
      </c>
      <c r="J27" s="6"/>
      <c r="K27" s="6">
        <f t="shared" si="1"/>
        <v>0</v>
      </c>
      <c r="L27" s="6">
        <f>H27+J27</f>
        <v>236.2</v>
      </c>
      <c r="M27" s="6">
        <f t="shared" si="2"/>
        <v>23.62</v>
      </c>
      <c r="N27" s="6"/>
      <c r="O27" s="10">
        <f t="shared" si="3"/>
        <v>92.6637112096263</v>
      </c>
    </row>
    <row r="28" spans="1:15">
      <c r="A28" s="2">
        <v>28</v>
      </c>
      <c r="B28" s="4">
        <v>307</v>
      </c>
      <c r="C28" s="4" t="s">
        <v>14</v>
      </c>
      <c r="D28" s="5">
        <v>4291</v>
      </c>
      <c r="E28" s="5" t="s">
        <v>82</v>
      </c>
      <c r="F28" s="5">
        <v>0.03</v>
      </c>
      <c r="G28" s="5" t="s">
        <v>78</v>
      </c>
      <c r="H28" s="6">
        <v>249.2</v>
      </c>
      <c r="I28" s="6">
        <f t="shared" si="0"/>
        <v>24.92</v>
      </c>
      <c r="J28" s="6"/>
      <c r="K28" s="6">
        <f t="shared" si="1"/>
        <v>0</v>
      </c>
      <c r="L28" s="6">
        <f>H28+J28</f>
        <v>249.2</v>
      </c>
      <c r="M28" s="6">
        <f t="shared" si="2"/>
        <v>24.92</v>
      </c>
      <c r="N28" s="6"/>
      <c r="O28" s="10">
        <f t="shared" si="3"/>
        <v>92.6637112096263</v>
      </c>
    </row>
    <row r="29" spans="1:15">
      <c r="A29" s="2">
        <v>29</v>
      </c>
      <c r="B29" s="4">
        <v>307</v>
      </c>
      <c r="C29" s="4" t="s">
        <v>14</v>
      </c>
      <c r="D29" s="5">
        <v>991617</v>
      </c>
      <c r="E29" s="5" t="s">
        <v>83</v>
      </c>
      <c r="F29" s="5">
        <v>0.03</v>
      </c>
      <c r="G29" s="5" t="s">
        <v>78</v>
      </c>
      <c r="H29" s="6"/>
      <c r="I29" s="6">
        <f t="shared" si="0"/>
        <v>0</v>
      </c>
      <c r="J29" s="6"/>
      <c r="K29" s="6">
        <f t="shared" si="1"/>
        <v>0</v>
      </c>
      <c r="L29" s="6">
        <f>H29+J29</f>
        <v>0</v>
      </c>
      <c r="M29" s="6">
        <f t="shared" si="2"/>
        <v>0</v>
      </c>
      <c r="N29" s="6"/>
      <c r="O29" s="10">
        <f t="shared" si="3"/>
        <v>92.6637112096263</v>
      </c>
    </row>
    <row r="30" spans="1:15">
      <c r="A30" s="2">
        <v>30</v>
      </c>
      <c r="B30" s="4">
        <v>307</v>
      </c>
      <c r="C30" s="4" t="s">
        <v>14</v>
      </c>
      <c r="D30" s="5">
        <v>9190</v>
      </c>
      <c r="E30" s="5" t="s">
        <v>84</v>
      </c>
      <c r="F30" s="5">
        <v>0.03</v>
      </c>
      <c r="G30" s="5" t="s">
        <v>78</v>
      </c>
      <c r="H30" s="6">
        <v>231.4</v>
      </c>
      <c r="I30" s="6">
        <f t="shared" si="0"/>
        <v>23.14</v>
      </c>
      <c r="J30" s="6"/>
      <c r="K30" s="6">
        <f t="shared" si="1"/>
        <v>0</v>
      </c>
      <c r="L30" s="6">
        <f>H30+J30</f>
        <v>231.4</v>
      </c>
      <c r="M30" s="6">
        <f t="shared" si="2"/>
        <v>23.14</v>
      </c>
      <c r="N30" s="6"/>
      <c r="O30" s="10">
        <f t="shared" si="3"/>
        <v>92.6637112096263</v>
      </c>
    </row>
    <row r="31" spans="1:15">
      <c r="A31" s="2">
        <v>31</v>
      </c>
      <c r="B31" s="4">
        <v>307</v>
      </c>
      <c r="C31" s="4" t="s">
        <v>14</v>
      </c>
      <c r="D31" s="5">
        <v>10891</v>
      </c>
      <c r="E31" s="5" t="s">
        <v>85</v>
      </c>
      <c r="F31" s="5">
        <v>0.03</v>
      </c>
      <c r="G31" s="8" t="s">
        <v>78</v>
      </c>
      <c r="H31" s="6">
        <v>17.8</v>
      </c>
      <c r="I31" s="6">
        <f t="shared" si="0"/>
        <v>1.7800000000000002</v>
      </c>
      <c r="J31" s="6"/>
      <c r="K31" s="6">
        <f t="shared" si="1"/>
        <v>0</v>
      </c>
      <c r="L31" s="6">
        <f>H31+J31</f>
        <v>17.8</v>
      </c>
      <c r="M31" s="6">
        <f t="shared" si="2"/>
        <v>1.7800000000000002</v>
      </c>
      <c r="N31" s="6">
        <f>(O31-L31)*0.1</f>
        <v>7.4863711209626302</v>
      </c>
      <c r="O31" s="10">
        <f t="shared" si="3"/>
        <v>92.6637112096263</v>
      </c>
    </row>
    <row r="32" spans="1:15">
      <c r="A32" s="2">
        <v>32</v>
      </c>
      <c r="B32" s="4">
        <v>307</v>
      </c>
      <c r="C32" s="4" t="s">
        <v>14</v>
      </c>
      <c r="D32" s="5">
        <v>10902</v>
      </c>
      <c r="E32" s="5" t="s">
        <v>86</v>
      </c>
      <c r="F32" s="5">
        <v>0.03</v>
      </c>
      <c r="G32" s="8" t="s">
        <v>78</v>
      </c>
      <c r="H32" s="6">
        <v>271.8</v>
      </c>
      <c r="I32" s="6">
        <f t="shared" si="0"/>
        <v>27.180000000000003</v>
      </c>
      <c r="J32" s="6"/>
      <c r="K32" s="6">
        <f t="shared" si="1"/>
        <v>0</v>
      </c>
      <c r="L32" s="6">
        <f>H32+J32</f>
        <v>271.8</v>
      </c>
      <c r="M32" s="6">
        <f t="shared" si="2"/>
        <v>27.180000000000003</v>
      </c>
      <c r="N32" s="6"/>
      <c r="O32" s="10">
        <f t="shared" si="3"/>
        <v>92.6637112096263</v>
      </c>
    </row>
    <row r="33" spans="1:15">
      <c r="A33" s="9" t="s">
        <v>87</v>
      </c>
      <c r="B33" s="9"/>
      <c r="C33" s="9"/>
      <c r="D33" s="9"/>
      <c r="E33" s="9"/>
      <c r="F33" s="9">
        <f>SUM(F3:F32)</f>
        <v>15.79</v>
      </c>
      <c r="G33" s="9"/>
      <c r="I33" s="6">
        <f t="shared" si="0"/>
        <v>0</v>
      </c>
      <c r="M33" s="6">
        <f t="shared" si="2"/>
        <v>0</v>
      </c>
      <c r="O33" s="10">
        <f t="shared" si="3"/>
        <v>48772</v>
      </c>
    </row>
    <row r="34" spans="1:15">
      <c r="E34" s="29" t="s">
        <v>97</v>
      </c>
      <c r="H34" s="6">
        <v>640.79999999999995</v>
      </c>
      <c r="I34" s="6">
        <f t="shared" si="0"/>
        <v>64.08</v>
      </c>
      <c r="M34" s="6">
        <f t="shared" si="2"/>
        <v>64.08</v>
      </c>
    </row>
  </sheetData>
  <phoneticPr fontId="7" type="noConversion"/>
  <pageMargins left="0.75" right="0.75" top="1" bottom="1" header="0.50902777777777797" footer="0.50902777777777797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3"/>
  <sheetViews>
    <sheetView tabSelected="1" workbookViewId="0">
      <selection activeCell="A17" sqref="A17:XFD17"/>
    </sheetView>
  </sheetViews>
  <sheetFormatPr defaultColWidth="9" defaultRowHeight="14.25"/>
  <cols>
    <col min="1" max="4" width="9" style="54"/>
    <col min="5" max="5" width="14.25" style="54" customWidth="1"/>
    <col min="6" max="6" width="12.875" style="54" customWidth="1"/>
    <col min="7" max="10" width="9" style="54"/>
    <col min="11" max="11" width="35" customWidth="1"/>
  </cols>
  <sheetData>
    <row r="1" spans="1:11">
      <c r="A1" s="53" t="s">
        <v>116</v>
      </c>
      <c r="B1" s="53" t="s">
        <v>117</v>
      </c>
      <c r="C1" s="53" t="s">
        <v>118</v>
      </c>
      <c r="D1" s="53" t="s">
        <v>119</v>
      </c>
      <c r="E1" s="53" t="s">
        <v>120</v>
      </c>
      <c r="F1" s="53" t="s">
        <v>121</v>
      </c>
      <c r="G1" s="53" t="s">
        <v>122</v>
      </c>
      <c r="H1" s="53" t="s">
        <v>123</v>
      </c>
      <c r="I1" s="53" t="s">
        <v>124</v>
      </c>
      <c r="J1" s="53" t="s">
        <v>125</v>
      </c>
      <c r="K1" s="53" t="s">
        <v>131</v>
      </c>
    </row>
    <row r="2" spans="1:11">
      <c r="A2" s="54">
        <v>307</v>
      </c>
      <c r="B2" s="53" t="s">
        <v>126</v>
      </c>
      <c r="C2" s="5">
        <v>7107</v>
      </c>
      <c r="D2" s="5" t="s">
        <v>55</v>
      </c>
      <c r="E2" s="54">
        <v>7187.927099999999</v>
      </c>
      <c r="F2" s="54">
        <v>0</v>
      </c>
      <c r="G2" s="54">
        <f>VLOOKUP(C:C,'7.26-8.25日藿香任务'!D:M,10,0)</f>
        <v>610.37799999999993</v>
      </c>
      <c r="H2" s="54">
        <f>VLOOKUP(C:C,'7.26-8.25日藿香任务'!D:N,11,0)</f>
        <v>0</v>
      </c>
      <c r="I2" s="54">
        <f>E2+G2</f>
        <v>7798.3050999999987</v>
      </c>
      <c r="J2" s="54">
        <f>F2+H2</f>
        <v>0</v>
      </c>
    </row>
    <row r="3" spans="1:11">
      <c r="A3" s="54">
        <v>307</v>
      </c>
      <c r="B3" s="53" t="s">
        <v>126</v>
      </c>
      <c r="C3" s="5">
        <v>9563</v>
      </c>
      <c r="D3" s="5" t="s">
        <v>56</v>
      </c>
      <c r="E3" s="54">
        <v>4872.1355999999996</v>
      </c>
      <c r="F3" s="54">
        <v>0</v>
      </c>
      <c r="G3" s="54">
        <f>VLOOKUP(C:C,'7.26-8.25日藿香任务'!D:M,10,0)</f>
        <v>133.68900000000002</v>
      </c>
      <c r="H3" s="54">
        <f>VLOOKUP(C:C,'7.26-8.25日藿香任务'!D:N,11,0)</f>
        <v>266.05374857504802</v>
      </c>
      <c r="I3" s="54">
        <f t="shared" ref="I3:I32" si="0">E3+G3</f>
        <v>5005.8245999999999</v>
      </c>
      <c r="J3" s="54">
        <f t="shared" ref="J3:J32" si="1">F3+H3</f>
        <v>266.05374857504802</v>
      </c>
    </row>
    <row r="4" spans="1:11">
      <c r="A4" s="54">
        <v>307</v>
      </c>
      <c r="B4" s="53" t="s">
        <v>126</v>
      </c>
      <c r="C4" s="5">
        <v>9669</v>
      </c>
      <c r="D4" s="5" t="s">
        <v>57</v>
      </c>
      <c r="E4" s="54">
        <v>2162.2835</v>
      </c>
      <c r="F4" s="54">
        <v>316.94200000000001</v>
      </c>
      <c r="G4" s="54">
        <f>VLOOKUP(C:C,'7.26-8.25日藿香任务'!D:M,10,0)</f>
        <v>145.30700000000002</v>
      </c>
      <c r="H4" s="54">
        <f>VLOOKUP(C:C,'7.26-8.25日藿香任务'!D:N,11,0)</f>
        <v>254.43574857504802</v>
      </c>
      <c r="I4" s="54">
        <f t="shared" si="0"/>
        <v>2307.5905000000002</v>
      </c>
      <c r="J4" s="54">
        <f t="shared" si="1"/>
        <v>571.37774857504803</v>
      </c>
    </row>
    <row r="5" spans="1:11">
      <c r="A5" s="54">
        <v>307</v>
      </c>
      <c r="B5" s="53" t="s">
        <v>126</v>
      </c>
      <c r="C5" s="5">
        <v>991137</v>
      </c>
      <c r="D5" s="5" t="s">
        <v>58</v>
      </c>
      <c r="E5" s="54">
        <v>3257.2013999999999</v>
      </c>
      <c r="F5" s="54">
        <v>32.84046781568766</v>
      </c>
      <c r="G5" s="54">
        <f>VLOOKUP(C:C,'7.26-8.25日藿香任务'!D:M,10,0)</f>
        <v>890.75000000000011</v>
      </c>
      <c r="H5" s="54">
        <f>VLOOKUP(C:C,'7.26-8.25日藿香任务'!D:N,11,0)</f>
        <v>0</v>
      </c>
      <c r="I5" s="54">
        <f t="shared" si="0"/>
        <v>4147.9513999999999</v>
      </c>
      <c r="J5" s="54">
        <f t="shared" si="1"/>
        <v>32.84046781568766</v>
      </c>
    </row>
    <row r="6" spans="1:11">
      <c r="A6" s="54">
        <v>307</v>
      </c>
      <c r="B6" s="53" t="s">
        <v>126</v>
      </c>
      <c r="C6" s="5">
        <v>990264</v>
      </c>
      <c r="D6" s="5" t="s">
        <v>59</v>
      </c>
      <c r="E6" s="54">
        <v>2133.2175000000002</v>
      </c>
      <c r="F6" s="54">
        <v>0</v>
      </c>
      <c r="G6" s="54">
        <f>VLOOKUP(C:C,'7.26-8.25日藿香任务'!D:M,10,0)</f>
        <v>143.30000000000001</v>
      </c>
      <c r="H6" s="54">
        <f>VLOOKUP(C:C,'7.26-8.25日藿香任务'!D:N,11,0)</f>
        <v>195.56694110196301</v>
      </c>
      <c r="I6" s="54">
        <f t="shared" si="0"/>
        <v>2276.5175000000004</v>
      </c>
      <c r="J6" s="54">
        <f t="shared" si="1"/>
        <v>195.56694110196301</v>
      </c>
    </row>
    <row r="7" spans="1:11">
      <c r="A7" s="54">
        <v>307</v>
      </c>
      <c r="B7" s="53" t="s">
        <v>126</v>
      </c>
      <c r="C7" s="5">
        <v>993501</v>
      </c>
      <c r="D7" s="5" t="s">
        <v>60</v>
      </c>
      <c r="E7" s="54">
        <v>2792.2181</v>
      </c>
      <c r="F7" s="54">
        <v>29.240467815687659</v>
      </c>
      <c r="G7" s="54">
        <f>VLOOKUP(C:C,'7.26-8.25日藿香任务'!D:M,10,0)</f>
        <v>174.89000000000001</v>
      </c>
      <c r="H7" s="54">
        <f>VLOOKUP(C:C,'7.26-8.25日藿香任务'!D:N,11,0)</f>
        <v>164.426941101963</v>
      </c>
      <c r="I7" s="54">
        <f t="shared" si="0"/>
        <v>2967.1080999999999</v>
      </c>
      <c r="J7" s="54">
        <f t="shared" si="1"/>
        <v>193.66740891765065</v>
      </c>
    </row>
    <row r="8" spans="1:11">
      <c r="A8" s="54">
        <v>307</v>
      </c>
      <c r="B8" s="53" t="s">
        <v>126</v>
      </c>
      <c r="C8" s="7">
        <v>10613</v>
      </c>
      <c r="D8" s="7" t="s">
        <v>61</v>
      </c>
      <c r="E8" s="54">
        <v>2360.9805999999999</v>
      </c>
      <c r="F8" s="54">
        <v>85.4</v>
      </c>
      <c r="G8" s="54">
        <f>VLOOKUP(C:C,'7.26-8.25日藿香任务'!D:M,10,0)</f>
        <v>239.97</v>
      </c>
      <c r="H8" s="54">
        <f>VLOOKUP(C:C,'7.26-8.25日藿香任务'!D:N,11,0)</f>
        <v>36.671133628879033</v>
      </c>
      <c r="I8" s="54">
        <f t="shared" si="0"/>
        <v>2600.9505999999997</v>
      </c>
      <c r="J8" s="54">
        <f t="shared" si="1"/>
        <v>122.07113362887904</v>
      </c>
    </row>
    <row r="9" spans="1:11">
      <c r="A9" s="54">
        <v>307</v>
      </c>
      <c r="B9" s="53" t="s">
        <v>126</v>
      </c>
      <c r="C9" s="5">
        <v>5880</v>
      </c>
      <c r="D9" s="5" t="s">
        <v>62</v>
      </c>
      <c r="E9" s="54">
        <v>3596.9791</v>
      </c>
      <c r="F9" s="54">
        <v>58</v>
      </c>
      <c r="G9" s="54">
        <f>VLOOKUP(C:C,'7.26-8.25日藿香任务'!D:M,10,0)</f>
        <v>99.72</v>
      </c>
      <c r="H9" s="54">
        <f>VLOOKUP(C:C,'7.26-8.25日藿香任务'!D:N,11,0)</f>
        <v>205.55903736542098</v>
      </c>
      <c r="I9" s="54">
        <f t="shared" si="0"/>
        <v>3696.6990999999998</v>
      </c>
      <c r="J9" s="54">
        <f t="shared" si="1"/>
        <v>263.55903736542098</v>
      </c>
    </row>
    <row r="10" spans="1:11">
      <c r="A10" s="54">
        <v>307</v>
      </c>
      <c r="B10" s="53" t="s">
        <v>126</v>
      </c>
      <c r="C10" s="5">
        <v>10886</v>
      </c>
      <c r="D10" s="5" t="s">
        <v>63</v>
      </c>
      <c r="E10" s="54">
        <v>1102.1455000000001</v>
      </c>
      <c r="F10" s="54">
        <v>0</v>
      </c>
      <c r="G10" s="54">
        <f>VLOOKUP(C:C,'7.26-8.25日藿香任务'!D:M,10,0)</f>
        <v>143.92000000000002</v>
      </c>
      <c r="H10" s="54">
        <f>VLOOKUP(C:C,'7.26-8.25日藿香任务'!D:N,11,0)</f>
        <v>0</v>
      </c>
      <c r="I10" s="54">
        <f t="shared" si="0"/>
        <v>1246.0655000000002</v>
      </c>
      <c r="J10" s="54">
        <f t="shared" si="1"/>
        <v>0</v>
      </c>
    </row>
    <row r="11" spans="1:11">
      <c r="A11" s="54">
        <v>307</v>
      </c>
      <c r="B11" s="53" t="s">
        <v>126</v>
      </c>
      <c r="C11" s="5">
        <v>10922</v>
      </c>
      <c r="D11" s="5" t="s">
        <v>65</v>
      </c>
      <c r="E11" s="54">
        <v>1330.441</v>
      </c>
      <c r="F11" s="54">
        <v>20.85</v>
      </c>
      <c r="G11" s="54">
        <f>VLOOKUP(C:C,'7.26-8.25日藿香任务'!D:M,10,0)</f>
        <v>198.93</v>
      </c>
      <c r="H11" s="54">
        <f>VLOOKUP(C:C,'7.26-8.25日藿香任务'!D:N,11,0)</f>
        <v>46.823229892337011</v>
      </c>
      <c r="I11" s="54">
        <f t="shared" si="0"/>
        <v>1529.3710000000001</v>
      </c>
      <c r="J11" s="54">
        <f t="shared" si="1"/>
        <v>67.673229892337019</v>
      </c>
    </row>
    <row r="12" spans="1:11">
      <c r="A12" s="54">
        <v>307</v>
      </c>
      <c r="B12" s="53" t="s">
        <v>126</v>
      </c>
      <c r="C12" s="5">
        <v>11117</v>
      </c>
      <c r="D12" s="5" t="s">
        <v>66</v>
      </c>
      <c r="E12" s="54">
        <v>0</v>
      </c>
      <c r="F12" s="54">
        <v>18.650000000000002</v>
      </c>
      <c r="G12" s="54">
        <f>VLOOKUP(C:C,'7.26-8.25日藿香任务'!D:M,10,0)</f>
        <v>7.120000000000001</v>
      </c>
      <c r="H12" s="54">
        <f>VLOOKUP(C:C,'7.26-8.25日藿香任务'!D:N,11,0)</f>
        <v>54.655807473084202</v>
      </c>
      <c r="I12" s="54">
        <f t="shared" si="0"/>
        <v>7.120000000000001</v>
      </c>
      <c r="J12" s="54">
        <f t="shared" si="1"/>
        <v>73.305807473084201</v>
      </c>
    </row>
    <row r="13" spans="1:11">
      <c r="A13" s="54">
        <v>307</v>
      </c>
      <c r="B13" s="53" t="s">
        <v>126</v>
      </c>
      <c r="C13" s="5">
        <v>7588</v>
      </c>
      <c r="D13" s="5" t="s">
        <v>67</v>
      </c>
      <c r="E13" s="54">
        <v>759.05100000000004</v>
      </c>
      <c r="F13" s="54">
        <v>350.80000000000007</v>
      </c>
      <c r="G13" s="54">
        <f>VLOOKUP(C:C,'7.26-8.25日藿香任务'!D:M,10,0)</f>
        <v>72.55</v>
      </c>
      <c r="H13" s="54">
        <f>VLOOKUP(C:C,'7.26-8.25日藿香任务'!D:N,11,0)</f>
        <v>173.20322989233702</v>
      </c>
      <c r="I13" s="54">
        <f t="shared" si="0"/>
        <v>831.601</v>
      </c>
      <c r="J13" s="54">
        <f t="shared" si="1"/>
        <v>524.00322989233712</v>
      </c>
    </row>
    <row r="14" spans="1:11">
      <c r="A14" s="54">
        <v>307</v>
      </c>
      <c r="B14" s="53" t="s">
        <v>126</v>
      </c>
      <c r="C14" s="5">
        <v>9679</v>
      </c>
      <c r="D14" s="5" t="s">
        <v>68</v>
      </c>
      <c r="E14" s="54">
        <v>166.49250000000001</v>
      </c>
      <c r="F14" s="54">
        <v>5</v>
      </c>
      <c r="G14" s="54">
        <f>VLOOKUP(C:C,'7.26-8.25日藿香任务'!D:M,10,0)</f>
        <v>106.36</v>
      </c>
      <c r="H14" s="54">
        <f>VLOOKUP(C:C,'7.26-8.25日藿香任务'!D:N,11,0)</f>
        <v>16.74161494616801</v>
      </c>
      <c r="I14" s="54">
        <f t="shared" si="0"/>
        <v>272.85250000000002</v>
      </c>
      <c r="J14" s="54">
        <f t="shared" si="1"/>
        <v>21.74161494616801</v>
      </c>
    </row>
    <row r="15" spans="1:11">
      <c r="A15" s="54">
        <v>307</v>
      </c>
      <c r="B15" s="53" t="s">
        <v>126</v>
      </c>
      <c r="C15" s="5">
        <v>7551</v>
      </c>
      <c r="D15" s="5" t="s">
        <v>69</v>
      </c>
      <c r="E15" s="54">
        <v>245.1695</v>
      </c>
      <c r="F15" s="54">
        <v>0</v>
      </c>
      <c r="G15" s="54">
        <f>VLOOKUP(C:C,'7.26-8.25日藿香任务'!D:M,10,0)</f>
        <v>56.552000000000007</v>
      </c>
      <c r="H15" s="54">
        <f>VLOOKUP(C:C,'7.26-8.25日藿香任务'!D:N,11,0)</f>
        <v>64.942614946168007</v>
      </c>
      <c r="I15" s="54">
        <f t="shared" si="0"/>
        <v>301.72149999999999</v>
      </c>
      <c r="J15" s="54">
        <f t="shared" si="1"/>
        <v>64.942614946168007</v>
      </c>
    </row>
    <row r="16" spans="1:11">
      <c r="A16" s="54">
        <v>307</v>
      </c>
      <c r="B16" s="53" t="s">
        <v>126</v>
      </c>
      <c r="C16" s="5">
        <v>8527</v>
      </c>
      <c r="D16" s="5" t="s">
        <v>70</v>
      </c>
      <c r="E16" s="54">
        <v>201.39</v>
      </c>
      <c r="F16" s="54">
        <v>0</v>
      </c>
      <c r="G16" s="54">
        <f>VLOOKUP(C:C,'7.26-8.25日藿香任务'!D:M,10,0)</f>
        <v>35.614000000000004</v>
      </c>
      <c r="H16" s="54">
        <f>VLOOKUP(C:C,'7.26-8.25日藿香任务'!D:N,11,0)</f>
        <v>87.487614946168009</v>
      </c>
      <c r="I16" s="54">
        <f t="shared" si="0"/>
        <v>237.00399999999999</v>
      </c>
      <c r="J16" s="54">
        <f t="shared" si="1"/>
        <v>87.487614946168009</v>
      </c>
    </row>
    <row r="17" spans="1:11">
      <c r="A17" s="54">
        <v>307</v>
      </c>
      <c r="B17" s="53" t="s">
        <v>126</v>
      </c>
      <c r="C17" s="5">
        <v>10989</v>
      </c>
      <c r="D17" s="5" t="s">
        <v>71</v>
      </c>
      <c r="E17" s="54">
        <v>1998.3491999999999</v>
      </c>
      <c r="F17" s="54">
        <v>5.3000000000000007</v>
      </c>
      <c r="G17" s="54">
        <f>VLOOKUP(C:C,'7.26-8.25日藿香任务'!D:M,10,0)</f>
        <v>170.02</v>
      </c>
      <c r="H17" s="54">
        <f>VLOOKUP(C:C,'7.26-8.25日藿香任务'!D:N,11,0)</f>
        <v>105.27113362887901</v>
      </c>
      <c r="I17" s="54">
        <f t="shared" si="0"/>
        <v>2168.3692000000001</v>
      </c>
      <c r="J17" s="54">
        <f t="shared" si="1"/>
        <v>110.57113362887901</v>
      </c>
    </row>
    <row r="18" spans="1:11">
      <c r="A18" s="54">
        <v>307</v>
      </c>
      <c r="B18" s="53" t="s">
        <v>126</v>
      </c>
      <c r="C18" s="5">
        <v>10890</v>
      </c>
      <c r="D18" s="5" t="s">
        <v>72</v>
      </c>
      <c r="E18" s="54">
        <v>1501.2449999999999</v>
      </c>
      <c r="F18" s="54">
        <v>138.76000000000002</v>
      </c>
      <c r="G18" s="54">
        <f>VLOOKUP(C:C,'7.26-8.25日藿香任务'!D:M,10,0)</f>
        <v>148.22399999999999</v>
      </c>
      <c r="H18" s="54">
        <f>VLOOKUP(C:C,'7.26-8.25日藿香任务'!D:N,11,0)</f>
        <v>66.641326155794999</v>
      </c>
      <c r="I18" s="54">
        <f t="shared" si="0"/>
        <v>1649.4689999999998</v>
      </c>
      <c r="J18" s="54">
        <f t="shared" si="1"/>
        <v>205.401326155795</v>
      </c>
    </row>
    <row r="19" spans="1:11" s="59" customFormat="1">
      <c r="A19" s="57">
        <v>307</v>
      </c>
      <c r="B19" s="57" t="s">
        <v>132</v>
      </c>
      <c r="C19" s="58">
        <v>10892</v>
      </c>
      <c r="D19" s="58" t="s">
        <v>73</v>
      </c>
      <c r="E19" s="57">
        <v>166.87</v>
      </c>
      <c r="F19" s="57">
        <v>451.44920000000002</v>
      </c>
      <c r="G19" s="57">
        <f>VLOOKUP(C:C,'7.26-8.25日藿香任务'!D:M,10,0)</f>
        <v>64.98</v>
      </c>
      <c r="H19" s="57">
        <f>VLOOKUP(C:C,'7.26-8.25日藿香任务'!D:N,11,0)</f>
        <v>150.335326155795</v>
      </c>
      <c r="I19" s="57">
        <f t="shared" si="0"/>
        <v>231.85000000000002</v>
      </c>
      <c r="J19" s="57">
        <f t="shared" si="1"/>
        <v>601.78452615579499</v>
      </c>
      <c r="K19" s="59" t="s">
        <v>133</v>
      </c>
    </row>
    <row r="20" spans="1:11" s="59" customFormat="1">
      <c r="A20" s="57">
        <v>307</v>
      </c>
      <c r="B20" s="57" t="s">
        <v>132</v>
      </c>
      <c r="C20" s="58">
        <v>990280</v>
      </c>
      <c r="D20" s="58" t="s">
        <v>74</v>
      </c>
      <c r="E20" s="57">
        <v>0</v>
      </c>
      <c r="F20" s="57">
        <v>0</v>
      </c>
      <c r="G20" s="57">
        <f>VLOOKUP(C:C,'7.26-8.25日藿香任务'!D:M,10,0)</f>
        <v>7.120000000000001</v>
      </c>
      <c r="H20" s="57">
        <f>VLOOKUP(C:C,'7.26-8.25日藿香任务'!D:N,11,0)</f>
        <v>0</v>
      </c>
      <c r="I20" s="57">
        <f t="shared" si="0"/>
        <v>7.120000000000001</v>
      </c>
      <c r="J20" s="57">
        <f t="shared" si="1"/>
        <v>0</v>
      </c>
      <c r="K20" s="59" t="s">
        <v>134</v>
      </c>
    </row>
    <row r="21" spans="1:11">
      <c r="A21" s="54">
        <v>307</v>
      </c>
      <c r="B21" s="53" t="s">
        <v>126</v>
      </c>
      <c r="C21" s="5">
        <v>4529</v>
      </c>
      <c r="D21" s="5" t="s">
        <v>75</v>
      </c>
      <c r="E21" s="54">
        <v>195.8484</v>
      </c>
      <c r="F21" s="54">
        <v>0</v>
      </c>
      <c r="G21" s="54">
        <f>VLOOKUP(C:C,'7.26-8.25日藿香任务'!D:M,10,0)</f>
        <v>215</v>
      </c>
      <c r="H21" s="54">
        <f>VLOOKUP(C:C,'7.26-8.25日藿香任务'!D:N,11,0)</f>
        <v>0</v>
      </c>
      <c r="I21" s="54">
        <f t="shared" si="0"/>
        <v>410.84839999999997</v>
      </c>
      <c r="J21" s="54">
        <f t="shared" si="1"/>
        <v>0</v>
      </c>
    </row>
    <row r="22" spans="1:11">
      <c r="A22" s="54">
        <v>307</v>
      </c>
      <c r="B22" s="53" t="s">
        <v>126</v>
      </c>
      <c r="C22" s="5">
        <v>4746</v>
      </c>
      <c r="D22" s="5" t="s">
        <v>76</v>
      </c>
      <c r="E22" s="54">
        <v>0</v>
      </c>
      <c r="F22" s="54">
        <v>0</v>
      </c>
      <c r="G22" s="54">
        <f>VLOOKUP(C:C,'7.26-8.25日藿香任务'!D:M,10,0)</f>
        <v>6.1240000000000006</v>
      </c>
      <c r="H22" s="54">
        <f>VLOOKUP(C:C,'7.26-8.25日藿香任务'!D:N,11,0)</f>
        <v>0</v>
      </c>
      <c r="I22" s="54">
        <f t="shared" si="0"/>
        <v>6.1240000000000006</v>
      </c>
      <c r="J22" s="54">
        <f t="shared" si="1"/>
        <v>0</v>
      </c>
    </row>
    <row r="23" spans="1:11">
      <c r="A23" s="54">
        <v>307</v>
      </c>
      <c r="B23" s="53" t="s">
        <v>126</v>
      </c>
      <c r="C23" s="5">
        <v>8592</v>
      </c>
      <c r="D23" s="5" t="s">
        <v>77</v>
      </c>
      <c r="E23" s="54">
        <v>70.2</v>
      </c>
      <c r="F23" s="54">
        <v>3.46</v>
      </c>
      <c r="G23" s="54">
        <f>VLOOKUP(C:C,'7.26-8.25日藿香任务'!D:M,10,0)</f>
        <v>114.80799999999999</v>
      </c>
      <c r="H23" s="54">
        <f>VLOOKUP(C:C,'7.26-8.25日藿香任务'!D:N,11,0)</f>
        <v>0</v>
      </c>
      <c r="I23" s="54">
        <f t="shared" si="0"/>
        <v>185.00799999999998</v>
      </c>
      <c r="J23" s="54">
        <f t="shared" si="1"/>
        <v>3.46</v>
      </c>
    </row>
    <row r="24" spans="1:11">
      <c r="A24" s="54">
        <v>307</v>
      </c>
      <c r="B24" s="53" t="s">
        <v>126</v>
      </c>
      <c r="C24" s="5">
        <v>8022</v>
      </c>
      <c r="D24" s="5" t="s">
        <v>79</v>
      </c>
      <c r="E24" s="54">
        <v>0</v>
      </c>
      <c r="F24" s="54">
        <v>18.97</v>
      </c>
      <c r="G24" s="54">
        <f>VLOOKUP(C:C,'7.26-8.25日藿香任务'!D:M,10,0)</f>
        <v>12.46</v>
      </c>
      <c r="H24" s="54">
        <f>VLOOKUP(C:C,'7.26-8.25日藿香任务'!D:N,11,0)</f>
        <v>0</v>
      </c>
      <c r="I24" s="54">
        <f t="shared" si="0"/>
        <v>12.46</v>
      </c>
      <c r="J24" s="54">
        <f t="shared" si="1"/>
        <v>18.97</v>
      </c>
    </row>
    <row r="25" spans="1:11">
      <c r="A25" s="54">
        <v>307</v>
      </c>
      <c r="B25" s="53" t="s">
        <v>126</v>
      </c>
      <c r="C25" s="5">
        <v>4449</v>
      </c>
      <c r="D25" s="5" t="s">
        <v>80</v>
      </c>
      <c r="E25" s="54">
        <v>66.412199999999999</v>
      </c>
      <c r="F25" s="54">
        <v>7.5500000000000007</v>
      </c>
      <c r="G25" s="54">
        <f>VLOOKUP(C:C,'7.26-8.25日藿香任务'!D:M,10,0)</f>
        <v>8.9</v>
      </c>
      <c r="H25" s="54">
        <f>VLOOKUP(C:C,'7.26-8.25日藿香任务'!D:N,11,0)</f>
        <v>0.36637112096262997</v>
      </c>
      <c r="I25" s="54">
        <f t="shared" si="0"/>
        <v>75.312200000000004</v>
      </c>
      <c r="J25" s="54">
        <f t="shared" si="1"/>
        <v>7.9163711209626308</v>
      </c>
    </row>
    <row r="26" spans="1:11">
      <c r="A26" s="54">
        <v>307</v>
      </c>
      <c r="B26" s="53" t="s">
        <v>126</v>
      </c>
      <c r="C26" s="5">
        <v>4292</v>
      </c>
      <c r="D26" s="5" t="s">
        <v>81</v>
      </c>
      <c r="E26" s="54">
        <v>59.121299999999998</v>
      </c>
      <c r="F26" s="54">
        <v>15.95</v>
      </c>
      <c r="G26" s="54">
        <f>VLOOKUP(C:C,'7.26-8.25日藿香任务'!D:M,10,0)</f>
        <v>23.62</v>
      </c>
      <c r="H26" s="54">
        <f>VLOOKUP(C:C,'7.26-8.25日藿香任务'!D:N,11,0)</f>
        <v>0</v>
      </c>
      <c r="I26" s="54">
        <f t="shared" si="0"/>
        <v>82.741299999999995</v>
      </c>
      <c r="J26" s="54">
        <f t="shared" si="1"/>
        <v>15.95</v>
      </c>
    </row>
    <row r="27" spans="1:11">
      <c r="A27" s="54">
        <v>307</v>
      </c>
      <c r="B27" s="53" t="s">
        <v>126</v>
      </c>
      <c r="C27" s="5">
        <v>4291</v>
      </c>
      <c r="D27" s="5" t="s">
        <v>82</v>
      </c>
      <c r="E27" s="54">
        <v>125.4165</v>
      </c>
      <c r="F27" s="54">
        <v>1.85</v>
      </c>
      <c r="G27" s="54">
        <f>VLOOKUP(C:C,'7.26-8.25日藿香任务'!D:M,10,0)</f>
        <v>24.92</v>
      </c>
      <c r="H27" s="54">
        <f>VLOOKUP(C:C,'7.26-8.25日藿香任务'!D:N,11,0)</f>
        <v>0</v>
      </c>
      <c r="I27" s="54">
        <f t="shared" si="0"/>
        <v>150.3365</v>
      </c>
      <c r="J27" s="54">
        <f t="shared" si="1"/>
        <v>1.85</v>
      </c>
    </row>
    <row r="28" spans="1:11" s="59" customFormat="1">
      <c r="A28" s="57">
        <v>307</v>
      </c>
      <c r="B28" s="57" t="s">
        <v>132</v>
      </c>
      <c r="C28" s="58">
        <v>991617</v>
      </c>
      <c r="D28" s="58" t="s">
        <v>83</v>
      </c>
      <c r="E28" s="57">
        <v>0</v>
      </c>
      <c r="F28" s="57">
        <v>5</v>
      </c>
      <c r="G28" s="57">
        <f>VLOOKUP(C:C,'7.26-8.25日藿香任务'!D:M,10,0)</f>
        <v>0</v>
      </c>
      <c r="H28" s="57">
        <f>VLOOKUP(C:C,'7.26-8.25日藿香任务'!D:N,11,0)</f>
        <v>0</v>
      </c>
      <c r="I28" s="57">
        <f t="shared" si="0"/>
        <v>0</v>
      </c>
      <c r="J28" s="57">
        <f t="shared" si="1"/>
        <v>5</v>
      </c>
      <c r="K28" s="59" t="s">
        <v>134</v>
      </c>
    </row>
    <row r="29" spans="1:11">
      <c r="A29" s="54">
        <v>307</v>
      </c>
      <c r="B29" s="53" t="s">
        <v>126</v>
      </c>
      <c r="C29" s="5">
        <v>9190</v>
      </c>
      <c r="D29" s="5" t="s">
        <v>84</v>
      </c>
      <c r="E29" s="54">
        <v>41.994800000000005</v>
      </c>
      <c r="F29" s="54">
        <v>9.0500000000000007</v>
      </c>
      <c r="G29" s="54">
        <f>VLOOKUP(C:C,'7.26-8.25日藿香任务'!D:M,10,0)</f>
        <v>23.14</v>
      </c>
      <c r="H29" s="54">
        <f>VLOOKUP(C:C,'7.26-8.25日藿香任务'!D:N,11,0)</f>
        <v>0</v>
      </c>
      <c r="I29" s="54">
        <f t="shared" si="0"/>
        <v>65.134800000000013</v>
      </c>
      <c r="J29" s="54">
        <f t="shared" si="1"/>
        <v>9.0500000000000007</v>
      </c>
    </row>
    <row r="30" spans="1:11">
      <c r="A30" s="54">
        <v>307</v>
      </c>
      <c r="B30" s="53" t="s">
        <v>126</v>
      </c>
      <c r="C30" s="5">
        <v>10891</v>
      </c>
      <c r="D30" s="5" t="s">
        <v>85</v>
      </c>
      <c r="E30" s="54">
        <v>11.625</v>
      </c>
      <c r="F30" s="54">
        <v>15.52</v>
      </c>
      <c r="G30" s="54">
        <f>VLOOKUP(C:C,'7.26-8.25日藿香任务'!D:M,10,0)</f>
        <v>1.7800000000000002</v>
      </c>
      <c r="H30" s="54">
        <f>VLOOKUP(C:C,'7.26-8.25日藿香任务'!D:N,11,0)</f>
        <v>7.4863711209626302</v>
      </c>
      <c r="I30" s="54">
        <f t="shared" si="0"/>
        <v>13.405000000000001</v>
      </c>
      <c r="J30" s="54">
        <f t="shared" si="1"/>
        <v>23.00637112096263</v>
      </c>
    </row>
    <row r="31" spans="1:11">
      <c r="A31" s="54">
        <v>307</v>
      </c>
      <c r="B31" s="53" t="s">
        <v>126</v>
      </c>
      <c r="C31" s="5">
        <v>10902</v>
      </c>
      <c r="D31" s="5" t="s">
        <v>86</v>
      </c>
      <c r="E31" s="54">
        <v>0</v>
      </c>
      <c r="F31" s="54">
        <v>19</v>
      </c>
      <c r="G31" s="54">
        <f>VLOOKUP(C:C,'7.26-8.25日藿香任务'!D:M,10,0)</f>
        <v>27.180000000000003</v>
      </c>
      <c r="H31" s="54">
        <f>VLOOKUP(C:C,'7.26-8.25日藿香任务'!D:N,11,0)</f>
        <v>0</v>
      </c>
      <c r="I31" s="54">
        <f t="shared" si="0"/>
        <v>27.180000000000003</v>
      </c>
      <c r="J31" s="54">
        <f t="shared" si="1"/>
        <v>19</v>
      </c>
    </row>
    <row r="32" spans="1:11">
      <c r="A32" s="54">
        <v>307</v>
      </c>
      <c r="B32" s="53" t="s">
        <v>126</v>
      </c>
      <c r="D32" s="29" t="s">
        <v>127</v>
      </c>
      <c r="E32" s="54">
        <v>113</v>
      </c>
      <c r="F32" s="54">
        <v>0</v>
      </c>
      <c r="G32" s="54">
        <v>64.08</v>
      </c>
      <c r="H32" s="54">
        <v>0</v>
      </c>
      <c r="I32" s="54">
        <f t="shared" si="0"/>
        <v>177.07999999999998</v>
      </c>
      <c r="J32" s="54">
        <f t="shared" si="1"/>
        <v>0</v>
      </c>
    </row>
    <row r="33" spans="1:10">
      <c r="A33" s="53" t="s">
        <v>128</v>
      </c>
      <c r="I33" s="54">
        <f>SUM(I2:I32)</f>
        <v>40489.120800000019</v>
      </c>
      <c r="J33" s="54">
        <f>SUM(J2:J32)</f>
        <v>3506.2503262583532</v>
      </c>
    </row>
  </sheetData>
  <phoneticPr fontId="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旗舰店7.26-8.25个人任务</vt:lpstr>
      <vt:lpstr>7.26-8.25日藿香任务</vt:lpstr>
      <vt:lpstr>7.26-8.25核算最终版合计明细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</cp:lastModifiedBy>
  <cp:revision>1</cp:revision>
  <dcterms:created xsi:type="dcterms:W3CDTF">2017-04-01T09:47:00Z</dcterms:created>
  <dcterms:modified xsi:type="dcterms:W3CDTF">2017-09-27T16:26:19Z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